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08447379-3F0D-43E5-83EA-B3F992E293B3}" xr6:coauthVersionLast="44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Pessimistisch" sheetId="34" r:id="rId1"/>
    <sheet name="Optimistisch" sheetId="32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35" l="1"/>
  <c r="J12" i="34" l="1"/>
  <c r="J12" i="32" l="1"/>
  <c r="H12" i="35" l="1"/>
  <c r="H11" i="35" s="1"/>
  <c r="I12" i="35" l="1"/>
  <c r="J12" i="35" s="1"/>
  <c r="K12" i="35" s="1"/>
  <c r="L12" i="35" s="1"/>
  <c r="M12" i="35" s="1"/>
  <c r="N12" i="35" s="1"/>
  <c r="O12" i="35" s="1"/>
  <c r="J57" i="35"/>
  <c r="I57" i="35"/>
  <c r="H57" i="35"/>
  <c r="D50" i="35"/>
  <c r="C49" i="35"/>
  <c r="I31" i="35"/>
  <c r="I33" i="35" s="1"/>
  <c r="D46" i="35" s="1"/>
  <c r="C55" i="35" s="1"/>
  <c r="I25" i="35"/>
  <c r="G18" i="35"/>
  <c r="H18" i="35" s="1"/>
  <c r="I18" i="35" s="1"/>
  <c r="J18" i="35" s="1"/>
  <c r="K18" i="35" s="1"/>
  <c r="L18" i="35" s="1"/>
  <c r="M18" i="35" s="1"/>
  <c r="N18" i="35" s="1"/>
  <c r="O18" i="35" s="1"/>
  <c r="P18" i="35" s="1"/>
  <c r="F14" i="35"/>
  <c r="F16" i="35" s="1"/>
  <c r="E14" i="35"/>
  <c r="E16" i="35" s="1"/>
  <c r="D14" i="35"/>
  <c r="D16" i="35" s="1"/>
  <c r="C14" i="35"/>
  <c r="C16" i="35" s="1"/>
  <c r="F12" i="35"/>
  <c r="E12" i="35"/>
  <c r="D12" i="35"/>
  <c r="I11" i="35" l="1"/>
  <c r="J11" i="35" s="1"/>
  <c r="K11" i="35" s="1"/>
  <c r="L11" i="35" s="1"/>
  <c r="G17" i="35"/>
  <c r="I19" i="35"/>
  <c r="H19" i="35"/>
  <c r="G19" i="35"/>
  <c r="H17" i="35"/>
  <c r="I17" i="35" l="1"/>
  <c r="D14" i="34" l="1"/>
  <c r="E14" i="34"/>
  <c r="F14" i="34"/>
  <c r="G14" i="34"/>
  <c r="H14" i="34"/>
  <c r="I14" i="34"/>
  <c r="C14" i="34"/>
  <c r="D50" i="34" l="1"/>
  <c r="D50" i="32"/>
  <c r="G18" i="34"/>
  <c r="H18" i="34" s="1"/>
  <c r="I18" i="34" s="1"/>
  <c r="J18" i="34" s="1"/>
  <c r="K18" i="34" s="1"/>
  <c r="L18" i="34" s="1"/>
  <c r="M18" i="34" s="1"/>
  <c r="N18" i="34" s="1"/>
  <c r="O18" i="34" s="1"/>
  <c r="P18" i="34" s="1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G14" i="32" l="1"/>
  <c r="H14" i="32"/>
  <c r="I14" i="32"/>
  <c r="D14" i="32"/>
  <c r="E14" i="32"/>
  <c r="F14" i="32"/>
  <c r="C14" i="32"/>
  <c r="I25" i="32" l="1"/>
  <c r="I12" i="32" l="1"/>
  <c r="H12" i="34" l="1"/>
  <c r="I12" i="34"/>
  <c r="G12" i="34"/>
  <c r="E12" i="34"/>
  <c r="F12" i="34"/>
  <c r="D12" i="34"/>
  <c r="D12" i="32" l="1"/>
  <c r="E12" i="32"/>
  <c r="F12" i="32"/>
  <c r="G12" i="32"/>
  <c r="H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J57" i="34" l="1"/>
  <c r="I16" i="34"/>
  <c r="I19" i="34"/>
  <c r="I17" i="34"/>
  <c r="H17" i="32" l="1"/>
  <c r="G17" i="32"/>
  <c r="I17" i="32" l="1"/>
  <c r="H14" i="35" l="1"/>
  <c r="H16" i="35" s="1"/>
  <c r="G14" i="35"/>
  <c r="G16" i="35" s="1"/>
  <c r="I14" i="35" l="1"/>
  <c r="I16" i="35" s="1"/>
  <c r="J14" i="35" l="1"/>
  <c r="J16" i="35" l="1"/>
  <c r="K14" i="35"/>
  <c r="K15" i="35" s="1"/>
  <c r="K57" i="35" l="1"/>
  <c r="J19" i="35"/>
  <c r="J17" i="35"/>
  <c r="K17" i="35"/>
  <c r="K19" i="35"/>
  <c r="L57" i="35"/>
  <c r="M11" i="35"/>
  <c r="L14" i="35"/>
  <c r="L15" i="35" s="1"/>
  <c r="M57" i="35" l="1"/>
  <c r="L17" i="35"/>
  <c r="L19" i="35"/>
  <c r="M14" i="35"/>
  <c r="M15" i="35" s="1"/>
  <c r="N11" i="35"/>
  <c r="N14" i="35" l="1"/>
  <c r="N15" i="35" s="1"/>
  <c r="O11" i="35"/>
  <c r="M19" i="35"/>
  <c r="N57" i="35"/>
  <c r="M17" i="35"/>
  <c r="P11" i="35" l="1"/>
  <c r="O14" i="35"/>
  <c r="O15" i="35" s="1"/>
  <c r="N17" i="35"/>
  <c r="N19" i="35"/>
  <c r="O57" i="35"/>
  <c r="O17" i="35" l="1"/>
  <c r="O19" i="35"/>
  <c r="P57" i="35"/>
  <c r="Q11" i="35"/>
  <c r="Q14" i="35" s="1"/>
  <c r="Q15" i="35" s="1"/>
  <c r="P14" i="35"/>
  <c r="P15" i="35" s="1"/>
  <c r="D42" i="35" l="1"/>
  <c r="D40" i="35"/>
  <c r="D41" i="35"/>
  <c r="P19" i="35"/>
  <c r="P17" i="35"/>
  <c r="Q19" i="35"/>
  <c r="Q57" i="35"/>
  <c r="D57" i="35" s="1"/>
  <c r="D43" i="35"/>
  <c r="D44" i="35"/>
  <c r="D49" i="35" l="1"/>
  <c r="D51" i="35" s="1"/>
  <c r="D53" i="35" s="1"/>
  <c r="E62" i="35"/>
  <c r="E66" i="35"/>
  <c r="E68" i="35" s="1"/>
  <c r="D52" i="35" l="1"/>
  <c r="E70" i="35"/>
  <c r="E74" i="35" s="1"/>
  <c r="E72" i="35" l="1"/>
  <c r="J14" i="32" l="1"/>
  <c r="J17" i="32" l="1"/>
  <c r="J19" i="32"/>
  <c r="K57" i="32"/>
  <c r="J16" i="32"/>
  <c r="K11" i="32"/>
  <c r="K14" i="32" s="1"/>
  <c r="K15" i="32" s="1"/>
  <c r="L11" i="32" l="1"/>
  <c r="L14" i="32" s="1"/>
  <c r="L15" i="32" s="1"/>
  <c r="M57" i="32" s="1"/>
  <c r="K19" i="32"/>
  <c r="L57" i="32"/>
  <c r="K17" i="32"/>
  <c r="M11" i="32" l="1"/>
  <c r="N11" i="32" s="1"/>
  <c r="L19" i="32"/>
  <c r="L17" i="32"/>
  <c r="M14" i="32" l="1"/>
  <c r="M15" i="32" s="1"/>
  <c r="M19" i="32" s="1"/>
  <c r="N14" i="32"/>
  <c r="N15" i="32" s="1"/>
  <c r="O11" i="32"/>
  <c r="N57" i="32" l="1"/>
  <c r="M17" i="32"/>
  <c r="N19" i="32"/>
  <c r="O57" i="32"/>
  <c r="N17" i="32"/>
  <c r="O14" i="32"/>
  <c r="O15" i="32" s="1"/>
  <c r="P11" i="32"/>
  <c r="Q11" i="32" l="1"/>
  <c r="Q14" i="32" s="1"/>
  <c r="Q15" i="32" s="1"/>
  <c r="P14" i="32"/>
  <c r="P15" i="32" s="1"/>
  <c r="O19" i="32"/>
  <c r="O17" i="32"/>
  <c r="P57" i="32"/>
  <c r="D43" i="32" l="1"/>
  <c r="P17" i="32"/>
  <c r="E62" i="32" s="1"/>
  <c r="P19" i="32"/>
  <c r="D44" i="32"/>
  <c r="D41" i="32"/>
  <c r="D40" i="32"/>
  <c r="D42" i="32"/>
  <c r="Q19" i="32"/>
  <c r="Q57" i="32"/>
  <c r="D57" i="32" s="1"/>
  <c r="D49" i="32" l="1"/>
  <c r="D51" i="32" s="1"/>
  <c r="D53" i="32" s="1"/>
  <c r="E66" i="32"/>
  <c r="E68" i="32" s="1"/>
  <c r="D52" i="32" l="1"/>
  <c r="E70" i="32"/>
  <c r="E74" i="32" s="1"/>
  <c r="E72" i="32" l="1"/>
  <c r="J14" i="34" l="1"/>
  <c r="J19" i="34" l="1"/>
  <c r="J17" i="34"/>
  <c r="K57" i="34"/>
  <c r="J16" i="34"/>
  <c r="K11" i="34"/>
  <c r="K14" i="34" s="1"/>
  <c r="K15" i="34" s="1"/>
  <c r="K19" i="34" l="1"/>
  <c r="L57" i="34"/>
  <c r="K17" i="34"/>
  <c r="L11" i="34"/>
  <c r="L14" i="34" l="1"/>
  <c r="L15" i="34" s="1"/>
  <c r="M11" i="34"/>
  <c r="M14" i="34" l="1"/>
  <c r="M15" i="34" s="1"/>
  <c r="N11" i="34"/>
  <c r="L19" i="34"/>
  <c r="M57" i="34"/>
  <c r="L17" i="34"/>
  <c r="O11" i="34" l="1"/>
  <c r="N14" i="34"/>
  <c r="N15" i="34" s="1"/>
  <c r="M17" i="34"/>
  <c r="N57" i="34"/>
  <c r="M19" i="34"/>
  <c r="N17" i="34" l="1"/>
  <c r="O57" i="34"/>
  <c r="N19" i="34"/>
  <c r="O14" i="34"/>
  <c r="O15" i="34" s="1"/>
  <c r="P11" i="34"/>
  <c r="P14" i="34" s="1"/>
  <c r="P15" i="34" s="1"/>
  <c r="Q11" i="34" l="1"/>
  <c r="Q14" i="34" s="1"/>
  <c r="Q15" i="34" s="1"/>
  <c r="O19" i="34"/>
  <c r="P57" i="34"/>
  <c r="O17" i="34"/>
  <c r="P17" i="34" l="1"/>
  <c r="P19" i="34"/>
  <c r="D41" i="34"/>
  <c r="D40" i="34"/>
  <c r="D43" i="34"/>
  <c r="D44" i="34"/>
  <c r="D42" i="34"/>
  <c r="Q57" i="34"/>
  <c r="D57" i="34" s="1"/>
  <c r="Q19" i="34"/>
  <c r="D49" i="34" l="1"/>
  <c r="D51" i="34" s="1"/>
  <c r="E62" i="34"/>
  <c r="E66" i="34"/>
  <c r="E68" i="34" s="1"/>
  <c r="E70" i="34" l="1"/>
  <c r="E74" i="34" s="1"/>
  <c r="D52" i="34"/>
  <c r="D53" i="34"/>
  <c r="E72" i="34" l="1"/>
</calcChain>
</file>

<file path=xl/sharedStrings.xml><?xml version="1.0" encoding="utf-8"?>
<sst xmlns="http://schemas.openxmlformats.org/spreadsheetml/2006/main" count="149" uniqueCount="49">
  <si>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</si>
  <si>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</si>
  <si>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</si>
  <si>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</si>
  <si>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</si>
  <si>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</si>
  <si>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</si>
  <si>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</si>
  <si>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</si>
  <si>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</si>
  <si>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</si>
  <si>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</si>
  <si>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</si>
  <si>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</si>
  <si>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</si>
  <si>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</si>
  <si>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</si>
  <si>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</si>
  <si>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</si>
  <si>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</si>
  <si>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</si>
  <si>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</si>
  <si>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</si>
  <si>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</si>
  <si>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</si>
  <si>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</si>
  <si>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</si>
  <si>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</si>
  <si>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</si>
  <si>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</si>
  <si>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</si>
  <si>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</si>
  <si>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</si>
  <si>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</si>
  <si>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</si>
  <si>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</si>
  <si>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</si>
  <si>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</si>
  <si>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</si>
  <si>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</si>
  <si>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</si>
  <si>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2033ff.</t>
  </si>
  <si>
    <t>KGV Multiple in 2032</t>
  </si>
  <si>
    <t>Gesamtwert 2032</t>
  </si>
  <si>
    <t>Steigerung Gesamt bis 2032 in Prozent</t>
  </si>
  <si>
    <t>Renditeerwartung bis 2032 pro Jahr</t>
  </si>
  <si>
    <t>CHF</t>
  </si>
  <si>
    <t>Quellensteuer Schweiz (25 %)</t>
  </si>
  <si>
    <t xml:space="preserve"> Annahmen für Sika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</si>
</sst>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3" fillId="2" borderId="0" xfId="1" applyNumberFormat="1" applyFont="1" applyFill="1" applyBorder="1"/>
    <xf numFmtId="3" fontId="5" fillId="2" borderId="0" xfId="0" applyNumberFormat="1" applyFont="1" applyFill="1"/>
    <xf numFmtId="165" fontId="5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5" fillId="2" borderId="0" xfId="0" applyNumberFormat="1" applyFont="1" applyFill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10" fontId="5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9" fillId="5" borderId="0" xfId="0" applyNumberFormat="1" applyFon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2" fontId="0" fillId="8" borderId="0" xfId="0" applyNumberFormat="1" applyFill="1"/>
    <xf numFmtId="10" fontId="9" fillId="5" borderId="0" xfId="1" applyNumberFormat="1" applyFont="1" applyFill="1"/>
    <xf numFmtId="165" fontId="9" fillId="5" borderId="0" xfId="1" applyNumberFormat="1" applyFont="1" applyFill="1"/>
    <xf numFmtId="0" fontId="9" fillId="2" borderId="4" xfId="0" applyFont="1" applyFill="1" applyBorder="1"/>
    <xf numFmtId="0" fontId="9" fillId="2" borderId="5" xfId="0" applyFont="1" applyFill="1" applyBorder="1"/>
    <xf numFmtId="10" fontId="9" fillId="2" borderId="5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9" fillId="2" borderId="0" xfId="0" applyFont="1" applyFill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0" fontId="9" fillId="2" borderId="0" xfId="0" applyNumberFormat="1" applyFont="1" applyFill="1" applyAlignment="1">
      <alignment horizontal="right"/>
    </xf>
    <xf numFmtId="0" fontId="10" fillId="2" borderId="7" xfId="0" applyFont="1" applyFill="1" applyBorder="1"/>
    <xf numFmtId="0" fontId="10" fillId="2" borderId="0" xfId="0" applyFont="1" applyFill="1"/>
    <xf numFmtId="10" fontId="10" fillId="2" borderId="0" xfId="0" applyNumberFormat="1" applyFont="1" applyFill="1"/>
    <xf numFmtId="9" fontId="9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15507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opLeftCell="A45" zoomScaleNormal="100" workbookViewId="0">
      <selection activeCell="C51" sqref="C5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48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4">
        <v>8109.2</v>
      </c>
      <c r="D11" s="84">
        <v>7877.5</v>
      </c>
      <c r="E11" s="84">
        <v>9252.2999999999993</v>
      </c>
      <c r="F11" s="84">
        <v>10491.8</v>
      </c>
      <c r="G11" s="74">
        <v>11790.04</v>
      </c>
      <c r="H11" s="74">
        <v>13284.12</v>
      </c>
      <c r="I11" s="74">
        <v>14165.33</v>
      </c>
      <c r="J11" s="74">
        <v>15430.1</v>
      </c>
      <c r="K11" s="74">
        <f t="shared" ref="K11" si="0">J11*(1+K12)</f>
        <v>16741.658500000001</v>
      </c>
      <c r="L11" s="74">
        <f t="shared" ref="L11:Q11" si="1">K11*(1+L12)</f>
        <v>18080.991180000001</v>
      </c>
      <c r="M11" s="74">
        <f t="shared" si="1"/>
        <v>19256.2556067</v>
      </c>
      <c r="N11" s="74">
        <f t="shared" si="1"/>
        <v>20219.068387035</v>
      </c>
      <c r="O11" s="74">
        <f t="shared" si="1"/>
        <v>20825.640438646053</v>
      </c>
      <c r="P11" s="74">
        <f t="shared" si="1"/>
        <v>21242.153247418973</v>
      </c>
      <c r="Q11" s="74">
        <f t="shared" si="1"/>
        <v>21560.785546130257</v>
      </c>
    </row>
    <row r="12" spans="1:28" x14ac:dyDescent="0.25">
      <c r="A12" s="5"/>
      <c r="B12" s="4" t="s">
        <v>1</v>
      </c>
      <c r="C12" s="88"/>
      <c r="D12" s="91">
        <f t="shared" ref="D12:J12" si="2">D11/C11-1</f>
        <v>-2.8572485571942918E-2</v>
      </c>
      <c r="E12" s="91">
        <f t="shared" si="2"/>
        <v>0.17452237384957137</v>
      </c>
      <c r="F12" s="91">
        <f t="shared" si="2"/>
        <v>0.13396668936372569</v>
      </c>
      <c r="G12" s="87">
        <f t="shared" si="2"/>
        <v>0.12373853866829343</v>
      </c>
      <c r="H12" s="87">
        <f t="shared" si="2"/>
        <v>0.1267239127263351</v>
      </c>
      <c r="I12" s="87">
        <f t="shared" si="2"/>
        <v>6.633559467996375E-2</v>
      </c>
      <c r="J12" s="87">
        <f t="shared" si="2"/>
        <v>8.9286306778592506E-2</v>
      </c>
      <c r="K12" s="87">
        <v>8.5000000000000006E-2</v>
      </c>
      <c r="L12" s="73">
        <v>0.08</v>
      </c>
      <c r="M12" s="73">
        <v>6.5000000000000002E-2</v>
      </c>
      <c r="N12" s="73">
        <v>0.05</v>
      </c>
      <c r="O12" s="73">
        <v>0.03</v>
      </c>
      <c r="P12" s="73">
        <v>0.02</v>
      </c>
      <c r="Q12" s="12">
        <v>1.4999999999999999E-2</v>
      </c>
    </row>
    <row r="13" spans="1:28" ht="15.95" customHeight="1" x14ac:dyDescent="0.25">
      <c r="A13" s="5"/>
      <c r="B13" s="4" t="s">
        <v>15</v>
      </c>
      <c r="C13" s="90">
        <v>0.1341</v>
      </c>
      <c r="D13" s="90">
        <v>0.14330000000000001</v>
      </c>
      <c r="E13" s="90">
        <v>0.15049999999999999</v>
      </c>
      <c r="F13" s="90">
        <v>0.15010000000000001</v>
      </c>
      <c r="G13" s="86">
        <v>0.15049999999999999</v>
      </c>
      <c r="H13" s="86">
        <v>0.15840000000000001</v>
      </c>
      <c r="I13" s="86">
        <v>0.16470000000000001</v>
      </c>
      <c r="J13" s="86">
        <v>0.17730000000000001</v>
      </c>
      <c r="K13" s="86">
        <v>0.17499999999999999</v>
      </c>
      <c r="L13" s="86">
        <v>0.17</v>
      </c>
      <c r="M13" s="86">
        <v>0.17</v>
      </c>
      <c r="N13" s="86">
        <v>0.17</v>
      </c>
      <c r="O13" s="86">
        <v>0.17</v>
      </c>
      <c r="P13" s="86">
        <v>0.17</v>
      </c>
      <c r="Q13" s="86">
        <v>0.17</v>
      </c>
    </row>
    <row r="14" spans="1:28" ht="17.100000000000001" customHeight="1" x14ac:dyDescent="0.25">
      <c r="A14" s="5"/>
      <c r="B14" s="4" t="s">
        <v>16</v>
      </c>
      <c r="C14" s="84">
        <f>C11*C13</f>
        <v>1087.44372</v>
      </c>
      <c r="D14" s="84">
        <f t="shared" ref="D14:I14" si="3">D11*D13</f>
        <v>1128.8457500000002</v>
      </c>
      <c r="E14" s="84">
        <f t="shared" si="3"/>
        <v>1392.4711499999999</v>
      </c>
      <c r="F14" s="84">
        <f t="shared" si="3"/>
        <v>1574.81918</v>
      </c>
      <c r="G14" s="74">
        <f t="shared" si="3"/>
        <v>1774.40102</v>
      </c>
      <c r="H14" s="74">
        <f t="shared" si="3"/>
        <v>2104.2046080000005</v>
      </c>
      <c r="I14" s="74">
        <f t="shared" si="3"/>
        <v>2333.0298510000002</v>
      </c>
      <c r="J14" s="74">
        <f>J11*J13</f>
        <v>2735.7567300000001</v>
      </c>
      <c r="K14" s="74">
        <f t="shared" ref="K14:Q14" si="4">K11*K13</f>
        <v>2929.7902374999999</v>
      </c>
      <c r="L14" s="74">
        <f t="shared" si="4"/>
        <v>3073.7685006000002</v>
      </c>
      <c r="M14" s="74">
        <f t="shared" si="4"/>
        <v>3273.5634531390001</v>
      </c>
      <c r="N14" s="74">
        <f t="shared" si="4"/>
        <v>3437.2416257959503</v>
      </c>
      <c r="O14" s="74">
        <f t="shared" si="4"/>
        <v>3540.3588745698294</v>
      </c>
      <c r="P14" s="74">
        <f>P11*P13</f>
        <v>3611.1660520612259</v>
      </c>
      <c r="Q14" s="74">
        <f t="shared" si="4"/>
        <v>3665.3335428421437</v>
      </c>
    </row>
    <row r="15" spans="1:28" x14ac:dyDescent="0.25">
      <c r="A15" s="102">
        <v>0.25</v>
      </c>
      <c r="B15" s="4" t="s">
        <v>39</v>
      </c>
      <c r="C15" s="84">
        <v>751.72284000000002</v>
      </c>
      <c r="D15" s="84">
        <v>824.77425000000005</v>
      </c>
      <c r="E15" s="84">
        <v>1048.28559</v>
      </c>
      <c r="F15" s="84">
        <v>1162.4914399999998</v>
      </c>
      <c r="G15" s="74">
        <v>1282.7563520000001</v>
      </c>
      <c r="H15" s="74">
        <v>1531.659036</v>
      </c>
      <c r="I15" s="74">
        <v>1729.5867929999999</v>
      </c>
      <c r="J15" s="74">
        <v>2033.6871800000001</v>
      </c>
      <c r="K15" s="74">
        <f t="shared" ref="K15:Q15" si="5">K14*(1-$A$15)</f>
        <v>2197.342678125</v>
      </c>
      <c r="L15" s="74">
        <f t="shared" si="5"/>
        <v>2305.3263754500003</v>
      </c>
      <c r="M15" s="74">
        <f t="shared" si="5"/>
        <v>2455.17258985425</v>
      </c>
      <c r="N15" s="74">
        <f t="shared" si="5"/>
        <v>2577.9312193469627</v>
      </c>
      <c r="O15" s="74">
        <f t="shared" si="5"/>
        <v>2655.2691559273721</v>
      </c>
      <c r="P15" s="74">
        <f>P14*(1-$A$15)</f>
        <v>2708.3745390459194</v>
      </c>
      <c r="Q15" s="74">
        <f t="shared" si="5"/>
        <v>2749.0001571316079</v>
      </c>
    </row>
    <row r="16" spans="1:28" ht="32.25" hidden="1" thickBot="1" x14ac:dyDescent="0.3">
      <c r="A16" s="13" t="s">
        <v>6</v>
      </c>
      <c r="B16" s="14"/>
      <c r="C16" s="15">
        <f t="shared" ref="C16:J16" si="6">C15/C14</f>
        <v>0.6912751677852349</v>
      </c>
      <c r="D16" s="15">
        <f t="shared" si="6"/>
        <v>0.73063503140265174</v>
      </c>
      <c r="E16" s="15">
        <f t="shared" si="6"/>
        <v>0.75282392026578082</v>
      </c>
      <c r="F16" s="15">
        <f t="shared" si="6"/>
        <v>0.73817455029980006</v>
      </c>
      <c r="G16" s="15">
        <f t="shared" si="6"/>
        <v>0.72292358803986712</v>
      </c>
      <c r="H16" s="15">
        <f t="shared" si="6"/>
        <v>0.72790404040404022</v>
      </c>
      <c r="I16" s="15">
        <f t="shared" si="6"/>
        <v>0.74134790528233141</v>
      </c>
      <c r="J16" s="15">
        <f t="shared" si="6"/>
        <v>0.74337281443880432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7.9922514143302186</v>
      </c>
      <c r="H17" s="74">
        <f t="shared" ref="H17:P17" si="7">H15/H18</f>
        <v>9.5430469532710287</v>
      </c>
      <c r="I17" s="74">
        <f t="shared" si="7"/>
        <v>10.776241700934579</v>
      </c>
      <c r="J17" s="74">
        <f t="shared" si="7"/>
        <v>12.67094816199377</v>
      </c>
      <c r="K17" s="74">
        <f t="shared" si="7"/>
        <v>13.690608586448599</v>
      </c>
      <c r="L17" s="74">
        <f t="shared" si="7"/>
        <v>14.363404208411216</v>
      </c>
      <c r="M17" s="74">
        <f t="shared" si="7"/>
        <v>15.297025481957943</v>
      </c>
      <c r="N17" s="74">
        <f t="shared" si="7"/>
        <v>16.061876756055842</v>
      </c>
      <c r="O17" s="74">
        <f t="shared" si="7"/>
        <v>16.543733058737523</v>
      </c>
      <c r="P17" s="74">
        <f t="shared" si="7"/>
        <v>16.874607719912269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160.5</v>
      </c>
      <c r="H18" s="74">
        <f>G18*1</f>
        <v>160.5</v>
      </c>
      <c r="I18" s="74">
        <f t="shared" ref="I18:P18" si="8">H18*1</f>
        <v>160.5</v>
      </c>
      <c r="J18" s="74">
        <f t="shared" si="8"/>
        <v>160.5</v>
      </c>
      <c r="K18" s="74">
        <f t="shared" si="8"/>
        <v>160.5</v>
      </c>
      <c r="L18" s="74">
        <f t="shared" si="8"/>
        <v>160.5</v>
      </c>
      <c r="M18" s="74">
        <f t="shared" si="8"/>
        <v>160.5</v>
      </c>
      <c r="N18" s="74">
        <f t="shared" si="8"/>
        <v>160.5</v>
      </c>
      <c r="O18" s="74">
        <f t="shared" si="8"/>
        <v>160.5</v>
      </c>
      <c r="P18" s="74">
        <f t="shared" si="8"/>
        <v>160.5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1173.8790684053993</v>
      </c>
      <c r="H19" s="53">
        <f>H15/(1+$C$55)^2</f>
        <v>1282.6863320628706</v>
      </c>
      <c r="I19" s="53">
        <f>I15/(1+$C$55)^3</f>
        <v>1325.5005580002055</v>
      </c>
      <c r="J19" s="53">
        <f>J15/(1+$C$55)^4</f>
        <v>1426.2671851073658</v>
      </c>
      <c r="K19" s="53">
        <f>K15/(1+$C$55)^5</f>
        <v>1410.2422285188088</v>
      </c>
      <c r="L19" s="53">
        <f>L15/(1+$C$55)^6</f>
        <v>1353.9652810722794</v>
      </c>
      <c r="M19" s="53">
        <f>M15/(1+$C$55)^7</f>
        <v>1319.581811340176</v>
      </c>
      <c r="N19" s="53">
        <f>N15/(1+$C$55)^8</f>
        <v>1267.9578146027773</v>
      </c>
      <c r="O19" s="53">
        <f>O15/(1+$C$55)^9</f>
        <v>1195.146693242609</v>
      </c>
      <c r="P19" s="53">
        <f>P15/(1+$C$55)^10</f>
        <v>1115.5796175771775</v>
      </c>
      <c r="Q19" s="54">
        <f>(Q15/(C55-Q12))/(1+C55)^10</f>
        <v>14563.51526483389</v>
      </c>
    </row>
    <row r="20" spans="1:18" x14ac:dyDescent="0.25">
      <c r="A20" s="2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92" t="s">
        <v>25</v>
      </c>
      <c r="H23" s="93"/>
      <c r="I23" s="94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95"/>
      <c r="H24" s="6"/>
      <c r="I24" s="96"/>
      <c r="J24" s="26"/>
    </row>
    <row r="25" spans="1:18" x14ac:dyDescent="0.25">
      <c r="A25" s="35"/>
      <c r="B25" s="36"/>
      <c r="C25" s="36"/>
      <c r="D25" s="38"/>
      <c r="F25" s="36"/>
      <c r="G25" s="95" t="s">
        <v>27</v>
      </c>
      <c r="H25" s="6"/>
      <c r="I25" s="97">
        <f>(I27-I23)*I29</f>
        <v>5.5250000000000014E-2</v>
      </c>
      <c r="J25" s="26"/>
    </row>
    <row r="26" spans="1:18" x14ac:dyDescent="0.25">
      <c r="A26" s="35"/>
      <c r="B26" s="36"/>
      <c r="C26" s="36"/>
      <c r="D26" s="38"/>
      <c r="F26" s="36"/>
      <c r="G26" s="95"/>
      <c r="H26" s="6"/>
      <c r="I26" s="96"/>
      <c r="J26" s="26"/>
    </row>
    <row r="27" spans="1:18" x14ac:dyDescent="0.25">
      <c r="A27" s="35"/>
      <c r="B27" s="36"/>
      <c r="C27" s="36"/>
      <c r="D27" s="38"/>
      <c r="F27" s="36"/>
      <c r="G27" s="95" t="s">
        <v>28</v>
      </c>
      <c r="H27" s="6"/>
      <c r="I27" s="98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95"/>
      <c r="H28" s="6"/>
      <c r="I28" s="96"/>
      <c r="J28" s="26"/>
    </row>
    <row r="29" spans="1:18" x14ac:dyDescent="0.25">
      <c r="A29" s="35"/>
      <c r="B29" s="36"/>
      <c r="C29" s="36"/>
      <c r="D29" s="39"/>
      <c r="F29" s="36"/>
      <c r="G29" s="95" t="s">
        <v>35</v>
      </c>
      <c r="H29" s="6"/>
      <c r="I29" s="81">
        <v>1.7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95"/>
      <c r="H30" s="6"/>
      <c r="I30" s="96"/>
      <c r="J30" s="26"/>
    </row>
    <row r="31" spans="1:18" x14ac:dyDescent="0.25">
      <c r="A31" s="35"/>
      <c r="B31" s="36"/>
      <c r="C31" s="36"/>
      <c r="D31" s="37"/>
      <c r="F31" s="36"/>
      <c r="G31" s="95" t="s">
        <v>31</v>
      </c>
      <c r="H31" s="6"/>
      <c r="I31" s="98">
        <f>I23+(I27-I23)*I29</f>
        <v>9.2750000000000013E-2</v>
      </c>
      <c r="J31" s="26" t="s">
        <v>32</v>
      </c>
    </row>
    <row r="32" spans="1:18" x14ac:dyDescent="0.25">
      <c r="A32" s="25"/>
      <c r="C32" s="41"/>
      <c r="E32" s="36"/>
      <c r="F32" s="36"/>
      <c r="G32" s="95"/>
      <c r="H32" s="6"/>
      <c r="I32" s="6"/>
      <c r="J32" s="26"/>
    </row>
    <row r="33" spans="1:10" x14ac:dyDescent="0.25">
      <c r="A33" s="25"/>
      <c r="G33" s="99" t="s">
        <v>34</v>
      </c>
      <c r="H33" s="100"/>
      <c r="I33" s="101">
        <f>I31</f>
        <v>9.2750000000000013E-2</v>
      </c>
      <c r="J33" s="26"/>
    </row>
    <row r="34" spans="1:10" x14ac:dyDescent="0.25">
      <c r="A34" s="35" t="s">
        <v>7</v>
      </c>
      <c r="B34" s="36"/>
      <c r="C34" s="42"/>
      <c r="D34" s="27"/>
      <c r="G34" s="95"/>
      <c r="H34" s="6"/>
      <c r="I34" s="6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9.2750000000000013E-2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44996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40799.1</v>
      </c>
      <c r="D49" s="47">
        <f>SUM(G19:Q19)</f>
        <v>27434.321854763559</v>
      </c>
      <c r="E49" s="46" t="s">
        <v>46</v>
      </c>
    </row>
    <row r="50" spans="1:17" x14ac:dyDescent="0.25">
      <c r="A50" s="45"/>
      <c r="B50" s="46" t="s">
        <v>11</v>
      </c>
      <c r="C50" s="56">
        <v>160.5</v>
      </c>
      <c r="D50" s="56">
        <f>C50</f>
        <v>160.5</v>
      </c>
      <c r="E50" s="46"/>
    </row>
    <row r="51" spans="1:17" x14ac:dyDescent="0.25">
      <c r="A51" s="45"/>
      <c r="B51" s="46" t="s">
        <v>13</v>
      </c>
      <c r="C51" s="89">
        <v>254.2</v>
      </c>
      <c r="D51" s="56">
        <f>D49/(D50)</f>
        <v>170.93035423528698</v>
      </c>
      <c r="E51" s="46" t="s">
        <v>46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0.48715540394944523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9.2750000000000013E-2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21575150.117714532</v>
      </c>
      <c r="E57" s="46"/>
      <c r="F57" s="1" t="s">
        <v>23</v>
      </c>
      <c r="H57" s="1">
        <f>G15/(1+$B$57)</f>
        <v>1157.7223393501804</v>
      </c>
      <c r="I57" s="1">
        <f>H15/(1+$B$57)^2</f>
        <v>1247.6207138109446</v>
      </c>
      <c r="J57" s="1">
        <f>I15/(1+$B$57)^3</f>
        <v>1271.5196590026417</v>
      </c>
      <c r="K57" s="1">
        <f>J15/(1+$B$57)^4</f>
        <v>1349.3515409611994</v>
      </c>
      <c r="L57" s="1">
        <f>K15/(1+$B$57)^5</f>
        <v>1315.8275918551094</v>
      </c>
      <c r="M57" s="1">
        <f>L15/(1+$B$57)^6</f>
        <v>1245.9306130201035</v>
      </c>
      <c r="N57" s="1">
        <f>M15/(1+$B$57)^7</f>
        <v>1197.5777101682399</v>
      </c>
      <c r="O57" s="1">
        <f>N15/(1+$B$57)^8</f>
        <v>1134.8886242569058</v>
      </c>
      <c r="P57" s="1">
        <f>O15/(1+$B$57)^9</f>
        <v>1054.9957427658962</v>
      </c>
      <c r="Q57" s="1">
        <f>(Q15/(B57-Q12))/(1+B57)^10</f>
        <v>10599.715582523311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42</v>
      </c>
      <c r="B59" s="23"/>
      <c r="C59" s="69">
        <v>16</v>
      </c>
      <c r="D59" s="23"/>
      <c r="E59" s="24"/>
    </row>
    <row r="60" spans="1:17" x14ac:dyDescent="0.25">
      <c r="A60" s="25" t="s">
        <v>21</v>
      </c>
      <c r="C60" s="70"/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269.99372351859631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0.4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53.525497616821191</v>
      </c>
    </row>
    <row r="67" spans="1:5" x14ac:dyDescent="0.25">
      <c r="A67" s="25"/>
      <c r="E67" s="61"/>
    </row>
    <row r="68" spans="1:5" x14ac:dyDescent="0.25">
      <c r="A68" s="62" t="s">
        <v>47</v>
      </c>
      <c r="E68" s="63">
        <f>(E66*0.25)*-1</f>
        <v>-13.381374404205298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43</v>
      </c>
      <c r="E70" s="60">
        <f>SUM(E62:E68)</f>
        <v>310.13784673121222</v>
      </c>
    </row>
    <row r="71" spans="1:5" x14ac:dyDescent="0.25">
      <c r="A71" s="25"/>
      <c r="E71" s="60"/>
    </row>
    <row r="72" spans="1:5" x14ac:dyDescent="0.25">
      <c r="A72" s="25" t="s">
        <v>44</v>
      </c>
      <c r="E72" s="64">
        <f>E70/C51-1</f>
        <v>0.22005447179863191</v>
      </c>
    </row>
    <row r="73" spans="1:5" x14ac:dyDescent="0.25">
      <c r="A73" s="25"/>
      <c r="E73" s="26"/>
    </row>
    <row r="74" spans="1:5" ht="16.5" thickBot="1" x14ac:dyDescent="0.3">
      <c r="A74" s="65" t="s">
        <v>45</v>
      </c>
      <c r="B74" s="66"/>
      <c r="C74" s="66"/>
      <c r="D74" s="66"/>
      <c r="E74" s="104">
        <f>(E70/C51)^(1/10)-1</f>
        <v>2.0088665701299524E-2</v>
      </c>
    </row>
  </sheetData>
  <conditionalFormatting sqref="L6:L8">
    <cfRule type="top10" dxfId="11" priority="6" percent="1" rank="10"/>
  </conditionalFormatting>
  <conditionalFormatting sqref="G6:J8">
    <cfRule type="top10" dxfId="10" priority="5" percent="1" rank="10"/>
  </conditionalFormatting>
  <conditionalFormatting sqref="K9">
    <cfRule type="top10" dxfId="9" priority="4" percent="1" rank="10"/>
  </conditionalFormatting>
  <conditionalFormatting sqref="L2:L5">
    <cfRule type="top10" dxfId="8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opLeftCell="A45" zoomScaleNormal="100" workbookViewId="0">
      <selection activeCell="C60" sqref="C60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48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4">
        <v>8109.2</v>
      </c>
      <c r="D11" s="84">
        <v>7877.5</v>
      </c>
      <c r="E11" s="84">
        <v>9252.2999999999993</v>
      </c>
      <c r="F11" s="84">
        <v>10491.8</v>
      </c>
      <c r="G11" s="74">
        <v>11790.04</v>
      </c>
      <c r="H11" s="74">
        <v>13284.12</v>
      </c>
      <c r="I11" s="74">
        <v>14165.33</v>
      </c>
      <c r="J11" s="74">
        <v>15430.1</v>
      </c>
      <c r="K11" s="74">
        <f t="shared" ref="K11" si="0">J11*(1+K12)</f>
        <v>16895.959500000001</v>
      </c>
      <c r="L11" s="74">
        <f t="shared" ref="L11:Q11" si="1">K11*(1+L12)</f>
        <v>18501.0756525</v>
      </c>
      <c r="M11" s="74">
        <f t="shared" si="1"/>
        <v>20166.172461225</v>
      </c>
      <c r="N11" s="74">
        <f t="shared" si="1"/>
        <v>21577.804533510753</v>
      </c>
      <c r="O11" s="74">
        <f t="shared" si="1"/>
        <v>22656.694760186292</v>
      </c>
      <c r="P11" s="74">
        <f t="shared" si="1"/>
        <v>23336.395602991881</v>
      </c>
      <c r="Q11" s="74">
        <f t="shared" si="1"/>
        <v>23803.12351505172</v>
      </c>
    </row>
    <row r="12" spans="1:28" x14ac:dyDescent="0.25">
      <c r="A12" s="5"/>
      <c r="B12" s="4" t="s">
        <v>1</v>
      </c>
      <c r="C12" s="91"/>
      <c r="D12" s="91">
        <f t="shared" ref="D12:J12" si="2">D11/C11-1</f>
        <v>-2.8572485571942918E-2</v>
      </c>
      <c r="E12" s="91">
        <f t="shared" si="2"/>
        <v>0.17452237384957137</v>
      </c>
      <c r="F12" s="91">
        <f t="shared" si="2"/>
        <v>0.13396668936372569</v>
      </c>
      <c r="G12" s="87">
        <f t="shared" si="2"/>
        <v>0.12373853866829343</v>
      </c>
      <c r="H12" s="87">
        <f t="shared" si="2"/>
        <v>0.1267239127263351</v>
      </c>
      <c r="I12" s="87">
        <f t="shared" si="2"/>
        <v>6.633559467996375E-2</v>
      </c>
      <c r="J12" s="87">
        <f t="shared" si="2"/>
        <v>8.9286306778592506E-2</v>
      </c>
      <c r="K12" s="87">
        <v>9.5000000000000001E-2</v>
      </c>
      <c r="L12" s="73">
        <v>9.5000000000000001E-2</v>
      </c>
      <c r="M12" s="73">
        <v>0.09</v>
      </c>
      <c r="N12" s="73">
        <v>7.0000000000000007E-2</v>
      </c>
      <c r="O12" s="73">
        <v>0.05</v>
      </c>
      <c r="P12" s="73">
        <v>0.03</v>
      </c>
      <c r="Q12" s="12">
        <v>0.02</v>
      </c>
    </row>
    <row r="13" spans="1:28" ht="15.95" customHeight="1" x14ac:dyDescent="0.25">
      <c r="A13" s="5"/>
      <c r="B13" s="4" t="s">
        <v>15</v>
      </c>
      <c r="C13" s="90">
        <v>0.1341</v>
      </c>
      <c r="D13" s="90">
        <v>0.14330000000000001</v>
      </c>
      <c r="E13" s="90">
        <v>0.15049999999999999</v>
      </c>
      <c r="F13" s="90">
        <v>0.15010000000000001</v>
      </c>
      <c r="G13" s="86">
        <v>0.15049999999999999</v>
      </c>
      <c r="H13" s="86">
        <v>0.15840000000000001</v>
      </c>
      <c r="I13" s="86">
        <v>0.16470000000000001</v>
      </c>
      <c r="J13" s="86">
        <v>0.17730000000000001</v>
      </c>
      <c r="K13" s="86">
        <v>0.18</v>
      </c>
      <c r="L13" s="86">
        <v>0.185</v>
      </c>
      <c r="M13" s="86">
        <v>0.185</v>
      </c>
      <c r="N13" s="86">
        <v>0.19</v>
      </c>
      <c r="O13" s="86">
        <v>0.19500000000000001</v>
      </c>
      <c r="P13" s="86">
        <v>0.2</v>
      </c>
      <c r="Q13" s="86">
        <v>0.2</v>
      </c>
    </row>
    <row r="14" spans="1:28" ht="17.100000000000001" customHeight="1" x14ac:dyDescent="0.25">
      <c r="A14" s="5"/>
      <c r="B14" s="4" t="s">
        <v>16</v>
      </c>
      <c r="C14" s="84">
        <f>C11*C13</f>
        <v>1087.44372</v>
      </c>
      <c r="D14" s="84">
        <f t="shared" ref="D14:J14" si="3">D11*D13</f>
        <v>1128.8457500000002</v>
      </c>
      <c r="E14" s="84">
        <f t="shared" si="3"/>
        <v>1392.4711499999999</v>
      </c>
      <c r="F14" s="84">
        <f t="shared" si="3"/>
        <v>1574.81918</v>
      </c>
      <c r="G14" s="74">
        <f t="shared" si="3"/>
        <v>1774.40102</v>
      </c>
      <c r="H14" s="74">
        <f t="shared" si="3"/>
        <v>2104.2046080000005</v>
      </c>
      <c r="I14" s="74">
        <f t="shared" si="3"/>
        <v>2333.0298510000002</v>
      </c>
      <c r="J14" s="74">
        <f t="shared" si="3"/>
        <v>2735.7567300000001</v>
      </c>
      <c r="K14" s="74">
        <f t="shared" ref="K14:Q14" si="4">K11*K13</f>
        <v>3041.2727100000002</v>
      </c>
      <c r="L14" s="74">
        <f t="shared" si="4"/>
        <v>3422.6989957124997</v>
      </c>
      <c r="M14" s="74">
        <f t="shared" si="4"/>
        <v>3730.7419053266249</v>
      </c>
      <c r="N14" s="74">
        <f t="shared" si="4"/>
        <v>4099.7828613670426</v>
      </c>
      <c r="O14" s="74">
        <f>O11*O13</f>
        <v>4418.055478236327</v>
      </c>
      <c r="P14" s="74">
        <f t="shared" si="4"/>
        <v>4667.2791205983767</v>
      </c>
      <c r="Q14" s="74">
        <f t="shared" si="4"/>
        <v>4760.6247030103441</v>
      </c>
    </row>
    <row r="15" spans="1:28" x14ac:dyDescent="0.25">
      <c r="A15" s="102">
        <v>0.25</v>
      </c>
      <c r="B15" s="4" t="s">
        <v>39</v>
      </c>
      <c r="C15" s="84">
        <v>751.72284000000002</v>
      </c>
      <c r="D15" s="84">
        <v>824.77425000000005</v>
      </c>
      <c r="E15" s="84">
        <v>1048.28559</v>
      </c>
      <c r="F15" s="84">
        <v>1162.4914399999998</v>
      </c>
      <c r="G15" s="74">
        <v>1282.7563520000001</v>
      </c>
      <c r="H15" s="74">
        <v>1531.659036</v>
      </c>
      <c r="I15" s="74">
        <v>1729.5867929999999</v>
      </c>
      <c r="J15" s="74">
        <v>2033.6871800000001</v>
      </c>
      <c r="K15" s="74">
        <f t="shared" ref="K15:Q15" si="5">K14*(1-$A$15)</f>
        <v>2280.9545324999999</v>
      </c>
      <c r="L15" s="74">
        <f t="shared" si="5"/>
        <v>2567.0242467843746</v>
      </c>
      <c r="M15" s="74">
        <f t="shared" si="5"/>
        <v>2798.0564289949689</v>
      </c>
      <c r="N15" s="74">
        <f t="shared" si="5"/>
        <v>3074.837146025282</v>
      </c>
      <c r="O15" s="74">
        <f>O14*(1-$A$15)</f>
        <v>3313.5416086772452</v>
      </c>
      <c r="P15" s="74">
        <f t="shared" si="5"/>
        <v>3500.4593404487823</v>
      </c>
      <c r="Q15" s="74">
        <f t="shared" si="5"/>
        <v>3570.4685272577581</v>
      </c>
    </row>
    <row r="16" spans="1:28" ht="32.25" hidden="1" thickBot="1" x14ac:dyDescent="0.3">
      <c r="A16" s="13" t="s">
        <v>6</v>
      </c>
      <c r="B16" s="14"/>
      <c r="C16" s="15">
        <f t="shared" ref="C16:J16" si="6">C15/C14</f>
        <v>0.6912751677852349</v>
      </c>
      <c r="D16" s="15">
        <f t="shared" si="6"/>
        <v>0.73063503140265174</v>
      </c>
      <c r="E16" s="15">
        <f t="shared" si="6"/>
        <v>0.75282392026578082</v>
      </c>
      <c r="F16" s="15">
        <f t="shared" si="6"/>
        <v>0.73817455029980006</v>
      </c>
      <c r="G16" s="15">
        <f t="shared" si="6"/>
        <v>0.72292358803986712</v>
      </c>
      <c r="H16" s="15">
        <f t="shared" si="6"/>
        <v>0.72790404040404022</v>
      </c>
      <c r="I16" s="15">
        <f t="shared" si="6"/>
        <v>0.74134790528233141</v>
      </c>
      <c r="J16" s="15">
        <f t="shared" si="6"/>
        <v>0.74337281443880432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7.9922514143302186</v>
      </c>
      <c r="H17" s="74">
        <f t="shared" ref="H17:O17" si="7">H15/H18</f>
        <v>9.5430469532710287</v>
      </c>
      <c r="I17" s="74">
        <f t="shared" si="7"/>
        <v>10.776241700934579</v>
      </c>
      <c r="J17" s="74">
        <f t="shared" si="7"/>
        <v>12.67094816199377</v>
      </c>
      <c r="K17" s="74">
        <f t="shared" si="7"/>
        <v>14.211554719626168</v>
      </c>
      <c r="L17" s="74">
        <f t="shared" si="7"/>
        <v>15.993920540712613</v>
      </c>
      <c r="M17" s="74">
        <f t="shared" si="7"/>
        <v>17.433373389376754</v>
      </c>
      <c r="N17" s="74">
        <f t="shared" si="7"/>
        <v>19.157863838163749</v>
      </c>
      <c r="O17" s="74">
        <f t="shared" si="7"/>
        <v>20.645119057179098</v>
      </c>
      <c r="P17" s="74">
        <f>P15/P18</f>
        <v>21.809715516814844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160.5</v>
      </c>
      <c r="H18" s="74">
        <f>G18*1</f>
        <v>160.5</v>
      </c>
      <c r="I18" s="74">
        <f t="shared" ref="I18:P18" si="8">H18*1</f>
        <v>160.5</v>
      </c>
      <c r="J18" s="74">
        <f t="shared" si="8"/>
        <v>160.5</v>
      </c>
      <c r="K18" s="74">
        <f t="shared" si="8"/>
        <v>160.5</v>
      </c>
      <c r="L18" s="74">
        <f t="shared" si="8"/>
        <v>160.5</v>
      </c>
      <c r="M18" s="74">
        <f t="shared" si="8"/>
        <v>160.5</v>
      </c>
      <c r="N18" s="74">
        <f t="shared" si="8"/>
        <v>160.5</v>
      </c>
      <c r="O18" s="74">
        <f t="shared" si="8"/>
        <v>160.5</v>
      </c>
      <c r="P18" s="74">
        <f t="shared" si="8"/>
        <v>160.5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1173.8790684053993</v>
      </c>
      <c r="H19" s="53">
        <f>H15/(1+$C$55)^2</f>
        <v>1282.6863320628706</v>
      </c>
      <c r="I19" s="53">
        <f>I15/(1+$C$55)^3</f>
        <v>1325.5005580002055</v>
      </c>
      <c r="J19" s="53">
        <f>J15/(1+$C$55)^4</f>
        <v>1426.2671851073658</v>
      </c>
      <c r="K19" s="53">
        <f>K15/(1+$C$55)^5</f>
        <v>1463.903848537497</v>
      </c>
      <c r="L19" s="53">
        <f>L15/(1+$C$55)^6</f>
        <v>1507.6657877296493</v>
      </c>
      <c r="M19" s="53">
        <f>M15/(1+$C$55)^7</f>
        <v>1503.8716162208354</v>
      </c>
      <c r="N19" s="53">
        <f>N15/(1+$C$55)^8</f>
        <v>1512.3614465250496</v>
      </c>
      <c r="O19" s="53">
        <f>O15/(1+$C$55)^9</f>
        <v>1491.4376147864705</v>
      </c>
      <c r="P19" s="53">
        <f>P15/(1+$C$55)^10</f>
        <v>1441.8393896650434</v>
      </c>
      <c r="Q19" s="54">
        <f>(Q15/(C55-Q12))/(1+C55)^10</f>
        <v>20215.480102520196</v>
      </c>
    </row>
    <row r="20" spans="1:18" x14ac:dyDescent="0.25">
      <c r="A20" s="2"/>
      <c r="C20" s="77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80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81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2">
        <f>(I27-I23)*I29</f>
        <v>5.5250000000000014E-2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81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3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81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81">
        <v>1.7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81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3">
        <f>I23+(I27-I23)*I29</f>
        <v>9.2750000000000013E-2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8" t="s">
        <v>34</v>
      </c>
      <c r="H33" s="22"/>
      <c r="I33" s="79">
        <f>I31</f>
        <v>9.2750000000000013E-2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9.2750000000000013E-2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44996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40799.1</v>
      </c>
      <c r="D49" s="47">
        <f>SUM(G19:Q19)</f>
        <v>34344.892949560584</v>
      </c>
      <c r="E49" s="46" t="s">
        <v>46</v>
      </c>
    </row>
    <row r="50" spans="1:17" x14ac:dyDescent="0.25">
      <c r="A50" s="45"/>
      <c r="B50" s="46" t="s">
        <v>11</v>
      </c>
      <c r="C50" s="56">
        <v>160.5</v>
      </c>
      <c r="D50" s="56">
        <f>C50</f>
        <v>160.5</v>
      </c>
      <c r="E50" s="46"/>
    </row>
    <row r="51" spans="1:17" x14ac:dyDescent="0.25">
      <c r="A51" s="45"/>
      <c r="B51" s="46" t="s">
        <v>13</v>
      </c>
      <c r="C51" s="89">
        <v>254.2</v>
      </c>
      <c r="D51" s="56">
        <f>D49/(D50)</f>
        <v>213.98687195987904</v>
      </c>
      <c r="E51" s="46" t="s">
        <v>46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0.18792334161350155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9.2750000000000013E-2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26363885.929070685</v>
      </c>
      <c r="E57" s="46"/>
      <c r="F57" s="1" t="s">
        <v>23</v>
      </c>
      <c r="H57" s="1">
        <f>G15/(1+$B$57)</f>
        <v>1157.7223393501804</v>
      </c>
      <c r="I57" s="1">
        <f>H15/(1+$B$57)^2</f>
        <v>1247.6207138109446</v>
      </c>
      <c r="J57" s="1">
        <f>I15/(1+$B$57)^3</f>
        <v>1271.5196590026417</v>
      </c>
      <c r="K57" s="1">
        <f>J15/(1+$B$57)^4</f>
        <v>1349.3515409611994</v>
      </c>
      <c r="L57" s="1">
        <f>K15/(1+$B$57)^5</f>
        <v>1365.8966075293854</v>
      </c>
      <c r="M57" s="1">
        <f>L15/(1+$B$57)^6</f>
        <v>1387.3671543835999</v>
      </c>
      <c r="N57" s="1">
        <f>M15/(1+$B$57)^7</f>
        <v>1364.8286988069713</v>
      </c>
      <c r="O57" s="1">
        <f>N15/(1+$B$57)^8</f>
        <v>1353.6426698578259</v>
      </c>
      <c r="P57" s="1">
        <f>O15/(1+$B$57)^9</f>
        <v>1316.5415953514623</v>
      </c>
      <c r="Q57" s="1">
        <f>(Q15/(B57-Q12))/(1+B57)^10</f>
        <v>14549.394950016476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42</v>
      </c>
      <c r="B59" s="23"/>
      <c r="C59" s="69">
        <v>24</v>
      </c>
      <c r="D59" s="23"/>
      <c r="E59" s="24"/>
    </row>
    <row r="60" spans="1:17" x14ac:dyDescent="0.25">
      <c r="A60" s="25" t="s">
        <v>21</v>
      </c>
      <c r="C60" s="70" t="s">
        <v>40</v>
      </c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523.43317240355623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0.4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60.093614116961128</v>
      </c>
    </row>
    <row r="67" spans="1:5" x14ac:dyDescent="0.25">
      <c r="A67" s="25"/>
      <c r="E67" s="61"/>
    </row>
    <row r="68" spans="1:5" x14ac:dyDescent="0.25">
      <c r="A68" s="62" t="s">
        <v>47</v>
      </c>
      <c r="E68" s="63">
        <f>(E66*0.25)*-1</f>
        <v>-15.023403529240282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43</v>
      </c>
      <c r="E70" s="60">
        <f>SUM(E62:E68)</f>
        <v>568.50338299127714</v>
      </c>
    </row>
    <row r="71" spans="1:5" x14ac:dyDescent="0.25">
      <c r="A71" s="25"/>
      <c r="E71" s="60"/>
    </row>
    <row r="72" spans="1:5" x14ac:dyDescent="0.25">
      <c r="A72" s="25" t="s">
        <v>44</v>
      </c>
      <c r="E72" s="64">
        <f>E70/C51-1</f>
        <v>1.2364413178256379</v>
      </c>
    </row>
    <row r="73" spans="1:5" x14ac:dyDescent="0.25">
      <c r="A73" s="25"/>
      <c r="E73" s="26"/>
    </row>
    <row r="74" spans="1:5" ht="16.5" thickBot="1" x14ac:dyDescent="0.3">
      <c r="A74" s="65" t="s">
        <v>45</v>
      </c>
      <c r="B74" s="66"/>
      <c r="C74" s="66"/>
      <c r="D74" s="66"/>
      <c r="E74" s="104">
        <f>(E70/C51)^(1/10)-1</f>
        <v>8.381648078380155E-2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2:AB74"/>
  <sheetViews>
    <sheetView tabSelected="1" topLeftCell="A29" zoomScaleNormal="100" workbookViewId="0">
      <selection activeCell="C60" sqref="C60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48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4">
        <v>8109.2</v>
      </c>
      <c r="D11" s="84">
        <v>7877.5</v>
      </c>
      <c r="E11" s="84">
        <v>9252.2999999999993</v>
      </c>
      <c r="F11" s="84">
        <v>10491.8</v>
      </c>
      <c r="G11" s="74">
        <f t="shared" ref="G11" si="0">F11*(1+G12)</f>
        <v>11698.357</v>
      </c>
      <c r="H11" s="74">
        <f t="shared" ref="H11" si="1">G11*(1+H12)</f>
        <v>13043.668055</v>
      </c>
      <c r="I11" s="74">
        <f t="shared" ref="I11" si="2">H11*(1+I12)</f>
        <v>14543.689881325001</v>
      </c>
      <c r="J11" s="74">
        <f t="shared" ref="J11" si="3">I11*(1+J12)</f>
        <v>16216.214217677376</v>
      </c>
      <c r="K11" s="74">
        <f t="shared" ref="K11" si="4">J11*(1+K12)</f>
        <v>18081.078852710274</v>
      </c>
      <c r="L11" s="74">
        <f t="shared" ref="L11" si="5">K11*(1+L12)</f>
        <v>20160.402920771954</v>
      </c>
      <c r="M11" s="74">
        <f t="shared" ref="M11:Q11" si="6">L11*(1+M12)</f>
        <v>22478.849256660727</v>
      </c>
      <c r="N11" s="74">
        <f t="shared" si="6"/>
        <v>25063.916921176711</v>
      </c>
      <c r="O11" s="74">
        <f t="shared" si="6"/>
        <v>27946.267367112032</v>
      </c>
      <c r="P11" s="74">
        <f t="shared" si="6"/>
        <v>29064.118061796515</v>
      </c>
      <c r="Q11" s="74">
        <f t="shared" si="6"/>
        <v>29645.400423032446</v>
      </c>
    </row>
    <row r="12" spans="1:28" x14ac:dyDescent="0.25">
      <c r="A12" s="5"/>
      <c r="B12" s="4" t="s">
        <v>1</v>
      </c>
      <c r="C12" s="88"/>
      <c r="D12" s="91">
        <f t="shared" ref="D12:F12" si="7">D11/C11-1</f>
        <v>-2.8572485571942918E-2</v>
      </c>
      <c r="E12" s="91">
        <f t="shared" si="7"/>
        <v>0.17452237384957137</v>
      </c>
      <c r="F12" s="91">
        <f t="shared" si="7"/>
        <v>0.13396668936372569</v>
      </c>
      <c r="G12" s="87">
        <v>0.115</v>
      </c>
      <c r="H12" s="87">
        <f>G12</f>
        <v>0.115</v>
      </c>
      <c r="I12" s="87">
        <f t="shared" ref="I12:O12" si="8">H12</f>
        <v>0.115</v>
      </c>
      <c r="J12" s="87">
        <f t="shared" si="8"/>
        <v>0.115</v>
      </c>
      <c r="K12" s="87">
        <f t="shared" si="8"/>
        <v>0.115</v>
      </c>
      <c r="L12" s="87">
        <f t="shared" si="8"/>
        <v>0.115</v>
      </c>
      <c r="M12" s="87">
        <f t="shared" si="8"/>
        <v>0.115</v>
      </c>
      <c r="N12" s="87">
        <f t="shared" si="8"/>
        <v>0.115</v>
      </c>
      <c r="O12" s="87">
        <f t="shared" si="8"/>
        <v>0.115</v>
      </c>
      <c r="P12" s="87">
        <v>0.04</v>
      </c>
      <c r="Q12" s="87">
        <v>0.02</v>
      </c>
    </row>
    <row r="13" spans="1:28" ht="15.95" customHeight="1" x14ac:dyDescent="0.25">
      <c r="A13" s="5"/>
      <c r="B13" s="4" t="s">
        <v>15</v>
      </c>
      <c r="C13" s="90">
        <v>0.1341</v>
      </c>
      <c r="D13" s="90">
        <v>0.14330000000000001</v>
      </c>
      <c r="E13" s="90">
        <v>0.15049999999999999</v>
      </c>
      <c r="F13" s="90">
        <v>0.15010000000000001</v>
      </c>
      <c r="G13" s="86">
        <v>0.15049999999999999</v>
      </c>
      <c r="H13" s="86">
        <v>0.15840000000000001</v>
      </c>
      <c r="I13" s="86">
        <v>0.16470000000000001</v>
      </c>
      <c r="J13" s="86">
        <v>0.17730000000000001</v>
      </c>
      <c r="K13" s="86">
        <v>0.18</v>
      </c>
      <c r="L13" s="86">
        <v>0.185</v>
      </c>
      <c r="M13" s="86">
        <v>0.185</v>
      </c>
      <c r="N13" s="86">
        <v>0.19</v>
      </c>
      <c r="O13" s="86">
        <v>0.19500000000000001</v>
      </c>
      <c r="P13" s="86">
        <v>0.2</v>
      </c>
      <c r="Q13" s="86">
        <v>0.2</v>
      </c>
    </row>
    <row r="14" spans="1:28" ht="17.100000000000001" customHeight="1" x14ac:dyDescent="0.25">
      <c r="A14" s="5"/>
      <c r="B14" s="4" t="s">
        <v>16</v>
      </c>
      <c r="C14" s="84">
        <f>C11*C13</f>
        <v>1087.44372</v>
      </c>
      <c r="D14" s="84">
        <f t="shared" ref="D14:Q14" si="9">D11*D13</f>
        <v>1128.8457500000002</v>
      </c>
      <c r="E14" s="84">
        <f t="shared" si="9"/>
        <v>1392.4711499999999</v>
      </c>
      <c r="F14" s="84">
        <f t="shared" si="9"/>
        <v>1574.81918</v>
      </c>
      <c r="G14" s="74">
        <f t="shared" si="9"/>
        <v>1760.6027285</v>
      </c>
      <c r="H14" s="74">
        <f t="shared" si="9"/>
        <v>2066.1170199120002</v>
      </c>
      <c r="I14" s="74">
        <f t="shared" si="9"/>
        <v>2395.3457234542279</v>
      </c>
      <c r="J14" s="74">
        <f t="shared" si="9"/>
        <v>2875.1347807941988</v>
      </c>
      <c r="K14" s="74">
        <f t="shared" si="9"/>
        <v>3254.5941934878492</v>
      </c>
      <c r="L14" s="74">
        <f t="shared" si="9"/>
        <v>3729.6745403428113</v>
      </c>
      <c r="M14" s="74">
        <f t="shared" si="9"/>
        <v>4158.5871124822343</v>
      </c>
      <c r="N14" s="74">
        <f t="shared" si="9"/>
        <v>4762.1442150235753</v>
      </c>
      <c r="O14" s="74">
        <f>O11*O13</f>
        <v>5449.5221365868465</v>
      </c>
      <c r="P14" s="74">
        <f t="shared" si="9"/>
        <v>5812.8236123593033</v>
      </c>
      <c r="Q14" s="74">
        <f t="shared" si="9"/>
        <v>5929.0800846064894</v>
      </c>
    </row>
    <row r="15" spans="1:28" x14ac:dyDescent="0.25">
      <c r="A15" s="102">
        <v>0.25</v>
      </c>
      <c r="B15" s="4" t="s">
        <v>39</v>
      </c>
      <c r="C15" s="84">
        <v>751.72284000000002</v>
      </c>
      <c r="D15" s="84">
        <v>824.77425000000005</v>
      </c>
      <c r="E15" s="84">
        <v>1048.28559</v>
      </c>
      <c r="F15" s="84">
        <v>1162.4914399999998</v>
      </c>
      <c r="G15" s="74">
        <v>1282.7563520000001</v>
      </c>
      <c r="H15" s="74">
        <v>1531.659036</v>
      </c>
      <c r="I15" s="74">
        <v>1729.5867929999999</v>
      </c>
      <c r="J15" s="74">
        <v>2033.6871800000001</v>
      </c>
      <c r="K15" s="74">
        <f t="shared" ref="K15:Q15" si="10">K14*(1-$A$15)</f>
        <v>2440.9456451158867</v>
      </c>
      <c r="L15" s="74">
        <f t="shared" si="10"/>
        <v>2797.2559052571087</v>
      </c>
      <c r="M15" s="74">
        <f t="shared" si="10"/>
        <v>3118.9403343616759</v>
      </c>
      <c r="N15" s="74">
        <f t="shared" si="10"/>
        <v>3571.6081612676817</v>
      </c>
      <c r="O15" s="74">
        <f>O14*(1-$A$15)</f>
        <v>4087.1416024401351</v>
      </c>
      <c r="P15" s="74">
        <f t="shared" si="10"/>
        <v>4359.6177092694779</v>
      </c>
      <c r="Q15" s="74">
        <f t="shared" si="10"/>
        <v>4446.8100634548673</v>
      </c>
    </row>
    <row r="16" spans="1:28" ht="32.25" hidden="1" thickBot="1" x14ac:dyDescent="0.3">
      <c r="A16" s="13" t="s">
        <v>6</v>
      </c>
      <c r="B16" s="14"/>
      <c r="C16" s="15">
        <f t="shared" ref="C16:J16" si="11">C15/C14</f>
        <v>0.6912751677852349</v>
      </c>
      <c r="D16" s="15">
        <f t="shared" si="11"/>
        <v>0.73063503140265174</v>
      </c>
      <c r="E16" s="15">
        <f t="shared" si="11"/>
        <v>0.75282392026578082</v>
      </c>
      <c r="F16" s="15">
        <f t="shared" si="11"/>
        <v>0.73817455029980006</v>
      </c>
      <c r="G16" s="15">
        <f t="shared" si="11"/>
        <v>0.72858932411906696</v>
      </c>
      <c r="H16" s="15">
        <f t="shared" si="11"/>
        <v>0.74132250072904204</v>
      </c>
      <c r="I16" s="15">
        <f t="shared" si="11"/>
        <v>0.72206144443560116</v>
      </c>
      <c r="J16" s="15">
        <f t="shared" si="11"/>
        <v>0.70733629379219376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7.9922514143302186</v>
      </c>
      <c r="H17" s="74">
        <f t="shared" ref="H17:O17" si="12">H15/H18</f>
        <v>9.5430469532710287</v>
      </c>
      <c r="I17" s="74">
        <f t="shared" si="12"/>
        <v>10.776241700934579</v>
      </c>
      <c r="J17" s="74">
        <f t="shared" si="12"/>
        <v>12.67094816199377</v>
      </c>
      <c r="K17" s="74">
        <f t="shared" si="12"/>
        <v>15.20838408171892</v>
      </c>
      <c r="L17" s="74">
        <f t="shared" si="12"/>
        <v>17.428385702536502</v>
      </c>
      <c r="M17" s="74">
        <f t="shared" si="12"/>
        <v>19.4326500583282</v>
      </c>
      <c r="N17" s="74">
        <f t="shared" si="12"/>
        <v>22.253010350577455</v>
      </c>
      <c r="O17" s="74">
        <f t="shared" si="12"/>
        <v>25.465056713022648</v>
      </c>
      <c r="P17" s="74">
        <f>P15/P18</f>
        <v>27.162727160557495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160.5</v>
      </c>
      <c r="H18" s="74">
        <f>G18*1</f>
        <v>160.5</v>
      </c>
      <c r="I18" s="74">
        <f t="shared" ref="I18:P18" si="13">H18*1</f>
        <v>160.5</v>
      </c>
      <c r="J18" s="74">
        <f t="shared" si="13"/>
        <v>160.5</v>
      </c>
      <c r="K18" s="74">
        <f t="shared" si="13"/>
        <v>160.5</v>
      </c>
      <c r="L18" s="74">
        <f t="shared" si="13"/>
        <v>160.5</v>
      </c>
      <c r="M18" s="74">
        <f t="shared" si="13"/>
        <v>160.5</v>
      </c>
      <c r="N18" s="74">
        <f t="shared" si="13"/>
        <v>160.5</v>
      </c>
      <c r="O18" s="74">
        <f t="shared" si="13"/>
        <v>160.5</v>
      </c>
      <c r="P18" s="74">
        <f t="shared" si="13"/>
        <v>160.5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1173.8790684053993</v>
      </c>
      <c r="H19" s="53">
        <f>H15/(1+$C$55)^2</f>
        <v>1282.6863320628706</v>
      </c>
      <c r="I19" s="53">
        <f>I15/(1+$C$55)^3</f>
        <v>1325.5005580002055</v>
      </c>
      <c r="J19" s="53">
        <f>J15/(1+$C$55)^4</f>
        <v>1426.2671851073658</v>
      </c>
      <c r="K19" s="53">
        <f>K15/(1+$C$55)^5</f>
        <v>1566.5852488692647</v>
      </c>
      <c r="L19" s="53">
        <f>L15/(1+$C$55)^6</f>
        <v>1642.8855446783475</v>
      </c>
      <c r="M19" s="53">
        <f>M15/(1+$C$55)^7</f>
        <v>1676.3371149085858</v>
      </c>
      <c r="N19" s="53">
        <f>N15/(1+$C$55)^8</f>
        <v>1756.6987221348766</v>
      </c>
      <c r="O19" s="53">
        <f>O15/(1+$C$55)^9</f>
        <v>1839.6378988798203</v>
      </c>
      <c r="P19" s="53">
        <f>P15/(1+$C$55)^10</f>
        <v>1795.7267677618927</v>
      </c>
      <c r="Q19" s="54">
        <f>(Q15/(C55-Q12))/(1+C55)^10</f>
        <v>25177.200042847151</v>
      </c>
    </row>
    <row r="20" spans="1:18" x14ac:dyDescent="0.25">
      <c r="A20" s="2"/>
      <c r="C20" s="77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80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81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2">
        <f>(I27-I23)*I29</f>
        <v>5.5250000000000014E-2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81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3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81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81">
        <v>1.7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81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3">
        <f>I23+(I27-I23)*I29</f>
        <v>9.2750000000000013E-2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8" t="s">
        <v>34</v>
      </c>
      <c r="H33" s="22"/>
      <c r="I33" s="79">
        <f>I31</f>
        <v>9.2750000000000013E-2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9.2750000000000013E-2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44996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40799.1</v>
      </c>
      <c r="D49" s="47">
        <f>SUM(G19:Q19)</f>
        <v>40663.40448365578</v>
      </c>
      <c r="E49" s="46" t="s">
        <v>46</v>
      </c>
    </row>
    <row r="50" spans="1:17" x14ac:dyDescent="0.25">
      <c r="A50" s="45"/>
      <c r="B50" s="46" t="s">
        <v>11</v>
      </c>
      <c r="C50" s="56">
        <v>160.5</v>
      </c>
      <c r="D50" s="56">
        <f>C50</f>
        <v>160.5</v>
      </c>
      <c r="E50" s="46"/>
    </row>
    <row r="51" spans="1:17" x14ac:dyDescent="0.25">
      <c r="A51" s="45"/>
      <c r="B51" s="46" t="s">
        <v>13</v>
      </c>
      <c r="C51" s="89">
        <v>254.2</v>
      </c>
      <c r="D51" s="56">
        <f>D49/(D50)</f>
        <v>253.35454506950643</v>
      </c>
      <c r="E51" s="46" t="s">
        <v>46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3.3370426816761167E-3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9.2750000000000013E-2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30837732.71838868</v>
      </c>
      <c r="E57" s="46"/>
      <c r="F57" s="1" t="s">
        <v>23</v>
      </c>
      <c r="H57" s="1">
        <f>G15/(1+$B$57)</f>
        <v>1157.7223393501804</v>
      </c>
      <c r="I57" s="1">
        <f>H15/(1+$B$57)^2</f>
        <v>1247.6207138109446</v>
      </c>
      <c r="J57" s="1">
        <f>I15/(1+$B$57)^3</f>
        <v>1271.5196590026417</v>
      </c>
      <c r="K57" s="1">
        <f>J15/(1+$B$57)^4</f>
        <v>1349.3515409611994</v>
      </c>
      <c r="L57" s="1">
        <f>K15/(1+$B$57)^5</f>
        <v>1461.7035667840155</v>
      </c>
      <c r="M57" s="1">
        <f>L15/(1+$B$57)^6</f>
        <v>1511.797549329988</v>
      </c>
      <c r="N57" s="1">
        <f>M15/(1+$B$57)^7</f>
        <v>1521.3486168799063</v>
      </c>
      <c r="O57" s="1">
        <f>N15/(1+$B$57)^8</f>
        <v>1572.3373230852185</v>
      </c>
      <c r="P57" s="1">
        <f>O15/(1+$B$57)^9</f>
        <v>1623.9095690281379</v>
      </c>
      <c r="Q57" s="1">
        <f>(Q15/(B57-Q12))/(1+B57)^10</f>
        <v>18120.421840156447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42</v>
      </c>
      <c r="B59" s="23"/>
      <c r="C59" s="69">
        <v>23</v>
      </c>
      <c r="D59" s="23"/>
      <c r="E59" s="24"/>
    </row>
    <row r="60" spans="1:17" x14ac:dyDescent="0.25">
      <c r="A60" s="25" t="s">
        <v>21</v>
      </c>
      <c r="C60" s="70" t="s">
        <v>40</v>
      </c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624.74272469282232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0.4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67.173080918908326</v>
      </c>
    </row>
    <row r="67" spans="1:5" x14ac:dyDescent="0.25">
      <c r="A67" s="25"/>
      <c r="E67" s="61"/>
    </row>
    <row r="68" spans="1:5" x14ac:dyDescent="0.25">
      <c r="A68" s="62" t="s">
        <v>47</v>
      </c>
      <c r="E68" s="63">
        <f>(E66*0.25)*-1</f>
        <v>-16.793270229727081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43</v>
      </c>
      <c r="E70" s="60">
        <f>SUM(E62:E68)</f>
        <v>675.12253538200355</v>
      </c>
    </row>
    <row r="71" spans="1:5" x14ac:dyDescent="0.25">
      <c r="A71" s="25"/>
      <c r="E71" s="60"/>
    </row>
    <row r="72" spans="1:5" x14ac:dyDescent="0.25">
      <c r="A72" s="25" t="s">
        <v>44</v>
      </c>
      <c r="E72" s="64">
        <f>E70/C51-1</f>
        <v>1.6558715003225948</v>
      </c>
    </row>
    <row r="73" spans="1:5" x14ac:dyDescent="0.25">
      <c r="A73" s="25"/>
      <c r="E73" s="26"/>
    </row>
    <row r="74" spans="1:5" ht="16.5" thickBot="1" x14ac:dyDescent="0.3">
      <c r="A74" s="65" t="s">
        <v>45</v>
      </c>
      <c r="B74" s="66"/>
      <c r="C74" s="66"/>
      <c r="D74" s="66"/>
      <c r="E74" s="104">
        <f>(E70/C51)^(1/10)-1</f>
        <v>0.10260689985055493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2023-03-11T08:20:00Z</dcterms:modified>
</cp:coreProperties>
</file>