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C6E8F232-7DF7-44FF-9547-9042B0349CA2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4" l="1"/>
  <c r="E68" i="32"/>
  <c r="G11" i="35" l="1"/>
  <c r="J12" i="34" l="1"/>
  <c r="J12" i="32" l="1"/>
  <c r="H12" i="35" l="1"/>
  <c r="H11" i="35" s="1"/>
  <c r="I12" i="35" l="1"/>
  <c r="J12" i="35" s="1"/>
  <c r="K12" i="35" s="1"/>
  <c r="L12" i="35" s="1"/>
  <c r="M12" i="35" s="1"/>
  <c r="N12" i="35" s="1"/>
  <c r="O12" i="35" s="1"/>
  <c r="J57" i="35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G17" i="35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4" i="35" l="1"/>
  <c r="J16" i="35" l="1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K11" i="34" l="1"/>
  <c r="L11" i="34" s="1"/>
  <c r="L14" i="34" s="1"/>
  <c r="L15" i="34" s="1"/>
  <c r="J19" i="34" l="1"/>
  <c r="K57" i="34"/>
  <c r="J17" i="34"/>
  <c r="J16" i="34"/>
  <c r="K14" i="34"/>
  <c r="K15" i="34" s="1"/>
  <c r="K19" i="34" s="1"/>
  <c r="M11" i="34"/>
  <c r="M14" i="34" s="1"/>
  <c r="M15" i="34" s="1"/>
  <c r="L19" i="34"/>
  <c r="M57" i="34"/>
  <c r="L17" i="34"/>
  <c r="N11" i="34" l="1"/>
  <c r="N14" i="34" s="1"/>
  <c r="N15" i="34" s="1"/>
  <c r="L57" i="34"/>
  <c r="K17" i="34"/>
  <c r="M19" i="34"/>
  <c r="M17" i="34"/>
  <c r="N57" i="34"/>
  <c r="O11" i="34" l="1"/>
  <c r="O14" i="34" s="1"/>
  <c r="O15" i="34" s="1"/>
  <c r="O57" i="34"/>
  <c r="N17" i="34"/>
  <c r="N19" i="34"/>
  <c r="P11" i="34" l="1"/>
  <c r="P14" i="34" s="1"/>
  <c r="P15" i="34" s="1"/>
  <c r="O17" i="34"/>
  <c r="P57" i="34"/>
  <c r="O19" i="34"/>
  <c r="Q11" i="34" l="1"/>
  <c r="Q14" i="34" s="1"/>
  <c r="Q15" i="34" s="1"/>
  <c r="D44" i="34" s="1"/>
  <c r="P19" i="34"/>
  <c r="P17" i="34"/>
  <c r="D40" i="34" l="1"/>
  <c r="D41" i="34"/>
  <c r="D43" i="34"/>
  <c r="Q19" i="34"/>
  <c r="D49" i="34" s="1"/>
  <c r="D51" i="34" s="1"/>
  <c r="D53" i="34" s="1"/>
  <c r="Q57" i="34"/>
  <c r="D57" i="34" s="1"/>
  <c r="D42" i="34"/>
  <c r="E62" i="34"/>
  <c r="E66" i="34"/>
  <c r="D52" i="34" l="1"/>
  <c r="E70" i="34"/>
  <c r="E74" i="34" s="1"/>
  <c r="E72" i="34" l="1"/>
  <c r="J14" i="32"/>
  <c r="J17" i="32" l="1"/>
  <c r="J19" i="32"/>
  <c r="K57" i="32"/>
  <c r="J16" i="32"/>
  <c r="K11" i="32"/>
  <c r="L11" i="32" s="1"/>
  <c r="K14" i="32" l="1"/>
  <c r="K15" i="32" s="1"/>
  <c r="K17" i="32" s="1"/>
  <c r="L14" i="32"/>
  <c r="L15" i="32" s="1"/>
  <c r="M11" i="32"/>
  <c r="L57" i="32" l="1"/>
  <c r="K19" i="32"/>
  <c r="M14" i="32"/>
  <c r="M15" i="32" s="1"/>
  <c r="N11" i="32"/>
  <c r="M57" i="32"/>
  <c r="L17" i="32"/>
  <c r="L19" i="32"/>
  <c r="N14" i="32" l="1"/>
  <c r="N15" i="32" s="1"/>
  <c r="O11" i="32"/>
  <c r="M17" i="32"/>
  <c r="N57" i="32"/>
  <c r="M19" i="32"/>
  <c r="P11" i="32" l="1"/>
  <c r="O14" i="32"/>
  <c r="O15" i="32" s="1"/>
  <c r="N17" i="32"/>
  <c r="N19" i="32"/>
  <c r="O57" i="32"/>
  <c r="P57" i="32" l="1"/>
  <c r="O17" i="32"/>
  <c r="O19" i="32"/>
  <c r="Q11" i="32"/>
  <c r="Q14" i="32" s="1"/>
  <c r="Q15" i="32" s="1"/>
  <c r="P14" i="32"/>
  <c r="P15" i="32" s="1"/>
  <c r="D43" i="32" s="1"/>
  <c r="D41" i="32" l="1"/>
  <c r="D40" i="32"/>
  <c r="D42" i="32"/>
  <c r="D44" i="32"/>
  <c r="P19" i="32"/>
  <c r="P17" i="32"/>
  <c r="Q57" i="32"/>
  <c r="D57" i="32" s="1"/>
  <c r="Q19" i="32"/>
  <c r="D49" i="32" l="1"/>
  <c r="D51" i="32" s="1"/>
  <c r="D52" i="32" s="1"/>
  <c r="E62" i="32"/>
  <c r="E66" i="32"/>
  <c r="D53" i="32" l="1"/>
  <c r="E70" i="32"/>
  <c r="E72" i="32" l="1"/>
  <c r="E74" i="32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<sst xmlns="http://schemas.openxmlformats.org/spreadsheetml/2006/main" count="149" uniqueCount="49">
  <si>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</si>
  <si>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</si>
  <si>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</si>
  <si>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</si>
  <si>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</si>
  <si>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</si>
  <si>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</si>
  <si>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</si>
  <si>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</si>
  <si>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</si>
  <si>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</si>
  <si>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</si>
  <si>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</si>
  <si>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</si>
  <si>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</si>
  <si>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</si>
  <si>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</si>
  <si>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</si>
  <si>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</si>
  <si>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</si>
  <si>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</si>
  <si>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</si>
  <si>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</si>
  <si>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</si>
  <si>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</si>
  <si>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</si>
  <si>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</si>
  <si>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</si>
  <si>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</si>
  <si>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</si>
  <si>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</si>
  <si>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</si>
  <si>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</si>
  <si>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</si>
  <si>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</si>
  <si>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</si>
  <si>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</si>
  <si>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</si>
  <si>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</si>
  <si>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</si>
  <si>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</si>
  <si>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</si>
  <si>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</si>
  <si>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</si>
  <si>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</si>
  <si>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</si>
  <si>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 xml:space="preserve"> Annahmen für Amplifon</t>
  </si>
  <si>
    <t>EUR</t>
  </si>
  <si>
    <t>Quellensteuer Italien (37,5 %)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</si>
</sst>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4" fontId="13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10" fontId="0" fillId="2" borderId="7" xfId="0" applyNumberForma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1732.06</v>
      </c>
      <c r="D11" s="83">
        <v>1555.54</v>
      </c>
      <c r="E11" s="83">
        <v>1948.08</v>
      </c>
      <c r="F11" s="83">
        <v>2119.13</v>
      </c>
      <c r="G11" s="73">
        <v>2250.9299999999998</v>
      </c>
      <c r="H11" s="73">
        <v>2423.06</v>
      </c>
      <c r="I11" s="73">
        <v>2618.04</v>
      </c>
      <c r="J11" s="73">
        <v>2888.14</v>
      </c>
      <c r="K11" s="73">
        <f t="shared" ref="K11" si="0">J11*(1+K12)</f>
        <v>3090.3098</v>
      </c>
      <c r="L11" s="73">
        <f t="shared" ref="L11:Q11" si="1">K11*(1+L12)</f>
        <v>3275.728388</v>
      </c>
      <c r="M11" s="73">
        <f t="shared" si="1"/>
        <v>3439.5148074000003</v>
      </c>
      <c r="N11" s="73">
        <f t="shared" si="1"/>
        <v>3577.0953996960006</v>
      </c>
      <c r="O11" s="73">
        <f t="shared" si="1"/>
        <v>3684.4082616868809</v>
      </c>
      <c r="P11" s="73">
        <f t="shared" si="1"/>
        <v>3758.0964269206188</v>
      </c>
      <c r="Q11" s="73">
        <f t="shared" si="1"/>
        <v>3814.4678733244277</v>
      </c>
    </row>
    <row r="12" spans="1:28" x14ac:dyDescent="0.25">
      <c r="A12" s="5"/>
      <c r="B12" s="4" t="s">
        <v>1</v>
      </c>
      <c r="C12" s="87"/>
      <c r="D12" s="90">
        <f t="shared" ref="D12:J12" si="2">D11/C11-1</f>
        <v>-0.10191332863757607</v>
      </c>
      <c r="E12" s="90">
        <f t="shared" si="2"/>
        <v>0.25234966635380629</v>
      </c>
      <c r="F12" s="90">
        <f t="shared" si="2"/>
        <v>8.7804402283273797E-2</v>
      </c>
      <c r="G12" s="86">
        <f t="shared" si="2"/>
        <v>6.2195334877992225E-2</v>
      </c>
      <c r="H12" s="86">
        <f t="shared" si="2"/>
        <v>7.6470614368283396E-2</v>
      </c>
      <c r="I12" s="86">
        <f t="shared" si="2"/>
        <v>8.0468498510148256E-2</v>
      </c>
      <c r="J12" s="86">
        <f t="shared" si="2"/>
        <v>0.10316878275351016</v>
      </c>
      <c r="K12" s="86">
        <v>7.0000000000000007E-2</v>
      </c>
      <c r="L12" s="72">
        <v>0.06</v>
      </c>
      <c r="M12" s="72">
        <v>0.05</v>
      </c>
      <c r="N12" s="72">
        <v>0.04</v>
      </c>
      <c r="O12" s="72">
        <v>0.03</v>
      </c>
      <c r="P12" s="72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9">
        <v>0.11600000000000001</v>
      </c>
      <c r="D13" s="89">
        <v>0.1018</v>
      </c>
      <c r="E13" s="89">
        <v>0.13320000000000001</v>
      </c>
      <c r="F13" s="89">
        <v>0.13009999999999999</v>
      </c>
      <c r="G13" s="85">
        <v>0.1381</v>
      </c>
      <c r="H13" s="85">
        <v>0.14269999999999999</v>
      </c>
      <c r="I13" s="85">
        <v>0.1507</v>
      </c>
      <c r="J13" s="85">
        <v>0.16389999999999999</v>
      </c>
      <c r="K13" s="85">
        <v>0.16500000000000001</v>
      </c>
      <c r="L13" s="85">
        <v>0.16500000000000001</v>
      </c>
      <c r="M13" s="85">
        <v>0.16500000000000001</v>
      </c>
      <c r="N13" s="85">
        <v>0.17</v>
      </c>
      <c r="O13" s="85">
        <v>0.17</v>
      </c>
      <c r="P13" s="85">
        <v>0.17</v>
      </c>
      <c r="Q13" s="85">
        <v>0.17</v>
      </c>
    </row>
    <row r="14" spans="1:28" ht="17.100000000000001" customHeight="1" x14ac:dyDescent="0.25">
      <c r="A14" s="5"/>
      <c r="B14" s="4" t="s">
        <v>16</v>
      </c>
      <c r="C14" s="83">
        <f>C11*C13</f>
        <v>200.91896</v>
      </c>
      <c r="D14" s="83">
        <f t="shared" ref="D14:I14" si="3">D11*D13</f>
        <v>158.353972</v>
      </c>
      <c r="E14" s="83">
        <f t="shared" si="3"/>
        <v>259.48425600000002</v>
      </c>
      <c r="F14" s="83">
        <f t="shared" si="3"/>
        <v>275.69881299999997</v>
      </c>
      <c r="G14" s="73">
        <f t="shared" si="3"/>
        <v>310.853433</v>
      </c>
      <c r="H14" s="73">
        <f t="shared" si="3"/>
        <v>345.77066199999996</v>
      </c>
      <c r="I14" s="73">
        <f t="shared" si="3"/>
        <v>394.53862800000002</v>
      </c>
      <c r="J14" s="73">
        <f>J11*J13</f>
        <v>473.36614599999996</v>
      </c>
      <c r="K14" s="73">
        <f t="shared" ref="K14:Q14" si="4">K11*K13</f>
        <v>509.901117</v>
      </c>
      <c r="L14" s="73">
        <f t="shared" si="4"/>
        <v>540.49518402000001</v>
      </c>
      <c r="M14" s="73">
        <f t="shared" si="4"/>
        <v>567.51994322100006</v>
      </c>
      <c r="N14" s="73">
        <f t="shared" si="4"/>
        <v>608.10621794832014</v>
      </c>
      <c r="O14" s="73">
        <f t="shared" si="4"/>
        <v>626.3494044867698</v>
      </c>
      <c r="P14" s="73">
        <f>P11*P13</f>
        <v>638.87639257650528</v>
      </c>
      <c r="Q14" s="73">
        <f t="shared" si="4"/>
        <v>648.45953846515272</v>
      </c>
    </row>
    <row r="15" spans="1:28" x14ac:dyDescent="0.25">
      <c r="A15" s="101">
        <v>0.35</v>
      </c>
      <c r="B15" s="4" t="s">
        <v>39</v>
      </c>
      <c r="C15" s="83">
        <v>108.60016200000001</v>
      </c>
      <c r="D15" s="83">
        <v>100.95454599999999</v>
      </c>
      <c r="E15" s="83">
        <v>157.79447999999999</v>
      </c>
      <c r="F15" s="83">
        <v>178.430746</v>
      </c>
      <c r="G15" s="73">
        <v>203.93425799999997</v>
      </c>
      <c r="H15" s="73">
        <v>230.19069999999999</v>
      </c>
      <c r="I15" s="73">
        <v>263.63662799999997</v>
      </c>
      <c r="J15" s="73">
        <v>300.07774599999999</v>
      </c>
      <c r="K15" s="73">
        <f t="shared" ref="K15:Q15" si="5">K14*(1-$A$15)</f>
        <v>331.43572605000003</v>
      </c>
      <c r="L15" s="73">
        <f t="shared" si="5"/>
        <v>351.32186961300005</v>
      </c>
      <c r="M15" s="73">
        <f t="shared" si="5"/>
        <v>368.88796309365006</v>
      </c>
      <c r="N15" s="73">
        <f t="shared" si="5"/>
        <v>395.2690416664081</v>
      </c>
      <c r="O15" s="73">
        <f t="shared" si="5"/>
        <v>407.12711291640039</v>
      </c>
      <c r="P15" s="73">
        <f>P14*(1-$A$15)</f>
        <v>415.26965517472843</v>
      </c>
      <c r="Q15" s="73">
        <f t="shared" si="5"/>
        <v>421.49870000234927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0.54051724137931045</v>
      </c>
      <c r="D16" s="15">
        <f t="shared" si="6"/>
        <v>0.63752455795677798</v>
      </c>
      <c r="E16" s="15">
        <f t="shared" si="6"/>
        <v>0.608108108108108</v>
      </c>
      <c r="F16" s="15">
        <f t="shared" si="6"/>
        <v>0.64719446579554196</v>
      </c>
      <c r="G16" s="15">
        <f t="shared" si="6"/>
        <v>0.65604634322954369</v>
      </c>
      <c r="H16" s="15">
        <f t="shared" si="6"/>
        <v>0.66573230553608975</v>
      </c>
      <c r="I16" s="15">
        <f t="shared" si="6"/>
        <v>0.6682149966821499</v>
      </c>
      <c r="J16" s="15">
        <f t="shared" si="6"/>
        <v>0.6339231238560098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0.89878474217717041</v>
      </c>
      <c r="H17" s="73">
        <f t="shared" ref="H17:P17" si="7">H15/H18</f>
        <v>1.0145028646981049</v>
      </c>
      <c r="I17" s="73">
        <f t="shared" si="7"/>
        <v>1.1619066901718818</v>
      </c>
      <c r="J17" s="73">
        <f t="shared" si="7"/>
        <v>1.3225110004407228</v>
      </c>
      <c r="K17" s="73">
        <f t="shared" si="7"/>
        <v>1.4607127635522257</v>
      </c>
      <c r="L17" s="73">
        <f t="shared" si="7"/>
        <v>1.5483555293653593</v>
      </c>
      <c r="M17" s="73">
        <f t="shared" si="7"/>
        <v>1.6257733058336274</v>
      </c>
      <c r="N17" s="73">
        <f t="shared" si="7"/>
        <v>1.7420407301296081</v>
      </c>
      <c r="O17" s="73">
        <f t="shared" si="7"/>
        <v>1.7943019520334966</v>
      </c>
      <c r="P17" s="73">
        <f t="shared" si="7"/>
        <v>1.8301879910741667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226.9</v>
      </c>
      <c r="H18" s="73">
        <f>G18*1</f>
        <v>226.9</v>
      </c>
      <c r="I18" s="73">
        <f t="shared" ref="I18:P18" si="8">H18*1</f>
        <v>226.9</v>
      </c>
      <c r="J18" s="73">
        <f t="shared" si="8"/>
        <v>226.9</v>
      </c>
      <c r="K18" s="73">
        <f t="shared" si="8"/>
        <v>226.9</v>
      </c>
      <c r="L18" s="73">
        <f t="shared" si="8"/>
        <v>226.9</v>
      </c>
      <c r="M18" s="73">
        <f t="shared" si="8"/>
        <v>226.9</v>
      </c>
      <c r="N18" s="73">
        <f t="shared" si="8"/>
        <v>226.9</v>
      </c>
      <c r="O18" s="73">
        <f t="shared" si="8"/>
        <v>226.9</v>
      </c>
      <c r="P18" s="73">
        <f t="shared" si="8"/>
        <v>226.9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185.52127177621102</v>
      </c>
      <c r="H19" s="53">
        <f>H15/(1+$C$55)^2</f>
        <v>190.49993200959011</v>
      </c>
      <c r="I19" s="53">
        <f>I15/(1+$C$55)^3</f>
        <v>198.47980535362146</v>
      </c>
      <c r="J19" s="53">
        <f>J15/(1+$C$55)^4</f>
        <v>205.51706628425623</v>
      </c>
      <c r="K19" s="53">
        <f>K15/(1+$C$55)^5</f>
        <v>206.49852245583961</v>
      </c>
      <c r="L19" s="53">
        <f>L15/(1+$C$55)^6</f>
        <v>199.12525249323625</v>
      </c>
      <c r="M19" s="53">
        <f>M15/(1+$C$55)^7</f>
        <v>190.2037890542625</v>
      </c>
      <c r="N19" s="53">
        <f>N15/(1+$C$55)^8</f>
        <v>185.40481405252129</v>
      </c>
      <c r="O19" s="53">
        <f>O15/(1+$C$55)^9</f>
        <v>173.72477459549413</v>
      </c>
      <c r="P19" s="53">
        <f>P15/(1+$C$55)^10</f>
        <v>161.20015473041076</v>
      </c>
      <c r="Q19" s="54">
        <f>(Q15/(C55-Q12))/(1+C55)^10</f>
        <v>1942.0552765740874</v>
      </c>
    </row>
    <row r="20" spans="1:18" x14ac:dyDescent="0.25">
      <c r="A20" s="2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1" t="s">
        <v>25</v>
      </c>
      <c r="H23" s="92"/>
      <c r="I23" s="93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4"/>
      <c r="H24" s="6"/>
      <c r="I24" s="95"/>
      <c r="J24" s="26"/>
    </row>
    <row r="25" spans="1:18" x14ac:dyDescent="0.25">
      <c r="A25" s="35"/>
      <c r="B25" s="36"/>
      <c r="C25" s="36"/>
      <c r="D25" s="38"/>
      <c r="F25" s="36"/>
      <c r="G25" s="94" t="s">
        <v>27</v>
      </c>
      <c r="H25" s="6"/>
      <c r="I25" s="96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4"/>
      <c r="H26" s="6"/>
      <c r="I26" s="95"/>
      <c r="J26" s="26"/>
    </row>
    <row r="27" spans="1:18" x14ac:dyDescent="0.25">
      <c r="A27" s="35"/>
      <c r="B27" s="36"/>
      <c r="C27" s="36"/>
      <c r="D27" s="38"/>
      <c r="F27" s="36"/>
      <c r="G27" s="94" t="s">
        <v>28</v>
      </c>
      <c r="H27" s="6"/>
      <c r="I27" s="97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4"/>
      <c r="H28" s="6"/>
      <c r="I28" s="95"/>
      <c r="J28" s="26"/>
    </row>
    <row r="29" spans="1:18" x14ac:dyDescent="0.25">
      <c r="A29" s="35"/>
      <c r="B29" s="36"/>
      <c r="C29" s="36"/>
      <c r="D29" s="39"/>
      <c r="F29" s="36"/>
      <c r="G29" s="94" t="s">
        <v>35</v>
      </c>
      <c r="H29" s="6"/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4"/>
      <c r="H30" s="6"/>
      <c r="I30" s="95"/>
      <c r="J30" s="26"/>
    </row>
    <row r="31" spans="1:18" x14ac:dyDescent="0.25">
      <c r="A31" s="35"/>
      <c r="B31" s="36"/>
      <c r="C31" s="36"/>
      <c r="D31" s="37"/>
      <c r="F31" s="36"/>
      <c r="G31" s="94" t="s">
        <v>31</v>
      </c>
      <c r="H31" s="6"/>
      <c r="I31" s="97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4"/>
      <c r="H32" s="6"/>
      <c r="I32" s="6"/>
      <c r="J32" s="26"/>
    </row>
    <row r="33" spans="1:10" x14ac:dyDescent="0.25">
      <c r="A33" s="25"/>
      <c r="G33" s="98" t="s">
        <v>34</v>
      </c>
      <c r="H33" s="99"/>
      <c r="I33" s="100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4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45031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7419.630000000001</v>
      </c>
      <c r="D49" s="47">
        <f>SUM(G19:Q19)</f>
        <v>3838.2306593795311</v>
      </c>
      <c r="E49" s="46" t="s">
        <v>47</v>
      </c>
    </row>
    <row r="50" spans="1:17" x14ac:dyDescent="0.25">
      <c r="A50" s="45"/>
      <c r="B50" s="46" t="s">
        <v>11</v>
      </c>
      <c r="C50" s="56">
        <v>226.9</v>
      </c>
      <c r="D50" s="56">
        <f>C50</f>
        <v>226.9</v>
      </c>
      <c r="E50" s="46"/>
    </row>
    <row r="51" spans="1:17" x14ac:dyDescent="0.25">
      <c r="A51" s="45"/>
      <c r="B51" s="46" t="s">
        <v>13</v>
      </c>
      <c r="C51" s="88">
        <v>32.700000000000003</v>
      </c>
      <c r="D51" s="56">
        <f>D49/(D50)</f>
        <v>16.915957070866156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0.93308601239703015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3293761.4766000831</v>
      </c>
      <c r="E57" s="46"/>
      <c r="F57" s="1" t="s">
        <v>23</v>
      </c>
      <c r="H57" s="1">
        <f>G15/(1+$B$57)</f>
        <v>184.05618953068588</v>
      </c>
      <c r="I57" s="1">
        <f>H15/(1+$B$57)^2</f>
        <v>187.50301385395346</v>
      </c>
      <c r="J57" s="1">
        <f>I15/(1+$B$57)^3</f>
        <v>193.81459010433497</v>
      </c>
      <c r="K57" s="1">
        <f>J15/(1+$B$57)^4</f>
        <v>199.10159878829711</v>
      </c>
      <c r="L57" s="1">
        <f>K15/(1+$B$57)^5</f>
        <v>198.47258127041766</v>
      </c>
      <c r="M57" s="1">
        <f>L15/(1+$B$57)^6</f>
        <v>189.87449110707826</v>
      </c>
      <c r="N57" s="1">
        <f>M15/(1+$B$57)^7</f>
        <v>179.93521269172578</v>
      </c>
      <c r="O57" s="1">
        <f>N15/(1+$B$57)^8</f>
        <v>174.01020459412049</v>
      </c>
      <c r="P57" s="1">
        <f>O15/(1+$B$57)^9</f>
        <v>161.76038874724196</v>
      </c>
      <c r="Q57" s="1">
        <f>(Q15/(B57-Q12))/(1+B57)^10</f>
        <v>1625.2332059122273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18</v>
      </c>
      <c r="D59" s="23"/>
      <c r="E59" s="24"/>
    </row>
    <row r="60" spans="1:17" x14ac:dyDescent="0.25">
      <c r="A60" s="25" t="s">
        <v>21</v>
      </c>
      <c r="C60" s="69"/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32.943383839334999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0.35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5.0396771493167272</v>
      </c>
    </row>
    <row r="67" spans="1:5" x14ac:dyDescent="0.25">
      <c r="A67" s="25"/>
      <c r="E67" s="61"/>
    </row>
    <row r="68" spans="1:5" x14ac:dyDescent="0.25">
      <c r="A68" s="104" t="s">
        <v>48</v>
      </c>
      <c r="E68" s="107">
        <f>(E66*0.375)*-1</f>
        <v>-1.8898789309937727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36.093182057657955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0.10376703540238386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9.9217884666336076E-3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1732.06</v>
      </c>
      <c r="D11" s="83">
        <v>1555.54</v>
      </c>
      <c r="E11" s="83">
        <v>1948.08</v>
      </c>
      <c r="F11" s="83">
        <v>2119.13</v>
      </c>
      <c r="G11" s="73">
        <v>2250.9299999999998</v>
      </c>
      <c r="H11" s="73">
        <v>2423.06</v>
      </c>
      <c r="I11" s="73">
        <v>2618.04</v>
      </c>
      <c r="J11" s="73">
        <v>2888.14</v>
      </c>
      <c r="K11" s="73">
        <f t="shared" ref="K11" si="0">J11*(1+K12)</f>
        <v>3176.9540000000002</v>
      </c>
      <c r="L11" s="73">
        <f t="shared" ref="L11:Q11" si="1">K11*(1+L12)</f>
        <v>3494.6494000000007</v>
      </c>
      <c r="M11" s="73">
        <f t="shared" si="1"/>
        <v>3844.114340000001</v>
      </c>
      <c r="N11" s="73">
        <f t="shared" si="1"/>
        <v>4190.0846306000012</v>
      </c>
      <c r="O11" s="73">
        <f t="shared" si="1"/>
        <v>4483.3905547420018</v>
      </c>
      <c r="P11" s="73">
        <f t="shared" si="1"/>
        <v>4707.5600824791018</v>
      </c>
      <c r="Q11" s="73">
        <f t="shared" si="1"/>
        <v>4801.7112841286835</v>
      </c>
    </row>
    <row r="12" spans="1:28" x14ac:dyDescent="0.25">
      <c r="A12" s="5"/>
      <c r="B12" s="4" t="s">
        <v>1</v>
      </c>
      <c r="C12" s="90"/>
      <c r="D12" s="90">
        <f t="shared" ref="D12:J12" si="2">D11/C11-1</f>
        <v>-0.10191332863757607</v>
      </c>
      <c r="E12" s="90">
        <f t="shared" si="2"/>
        <v>0.25234966635380629</v>
      </c>
      <c r="F12" s="90">
        <f t="shared" si="2"/>
        <v>8.7804402283273797E-2</v>
      </c>
      <c r="G12" s="86">
        <f t="shared" si="2"/>
        <v>6.2195334877992225E-2</v>
      </c>
      <c r="H12" s="86">
        <f t="shared" si="2"/>
        <v>7.6470614368283396E-2</v>
      </c>
      <c r="I12" s="86">
        <f t="shared" si="2"/>
        <v>8.0468498510148256E-2</v>
      </c>
      <c r="J12" s="86">
        <f t="shared" si="2"/>
        <v>0.10316878275351016</v>
      </c>
      <c r="K12" s="86">
        <v>0.1</v>
      </c>
      <c r="L12" s="72">
        <v>0.1</v>
      </c>
      <c r="M12" s="72">
        <v>0.1</v>
      </c>
      <c r="N12" s="72">
        <v>0.09</v>
      </c>
      <c r="O12" s="72">
        <v>7.0000000000000007E-2</v>
      </c>
      <c r="P12" s="72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89">
        <v>0.11600000000000001</v>
      </c>
      <c r="D13" s="89">
        <v>0.1018</v>
      </c>
      <c r="E13" s="89">
        <v>0.13320000000000001</v>
      </c>
      <c r="F13" s="89">
        <v>0.13009999999999999</v>
      </c>
      <c r="G13" s="85">
        <v>0.1381</v>
      </c>
      <c r="H13" s="85">
        <v>0.14269999999999999</v>
      </c>
      <c r="I13" s="85">
        <v>0.1507</v>
      </c>
      <c r="J13" s="85">
        <v>0.16389999999999999</v>
      </c>
      <c r="K13" s="85">
        <v>0.17</v>
      </c>
      <c r="L13" s="85">
        <v>0.17499999999999999</v>
      </c>
      <c r="M13" s="85">
        <v>0.18</v>
      </c>
      <c r="N13" s="85">
        <v>0.19</v>
      </c>
      <c r="O13" s="85">
        <v>0.19500000000000001</v>
      </c>
      <c r="P13" s="85">
        <v>0.2</v>
      </c>
      <c r="Q13" s="85">
        <v>0.2</v>
      </c>
    </row>
    <row r="14" spans="1:28" ht="17.100000000000001" customHeight="1" x14ac:dyDescent="0.25">
      <c r="A14" s="5"/>
      <c r="B14" s="4" t="s">
        <v>16</v>
      </c>
      <c r="C14" s="83">
        <f>C11*C13</f>
        <v>200.91896</v>
      </c>
      <c r="D14" s="83">
        <f t="shared" ref="D14:J14" si="3">D11*D13</f>
        <v>158.353972</v>
      </c>
      <c r="E14" s="83">
        <f t="shared" si="3"/>
        <v>259.48425600000002</v>
      </c>
      <c r="F14" s="83">
        <f t="shared" si="3"/>
        <v>275.69881299999997</v>
      </c>
      <c r="G14" s="73">
        <f t="shared" si="3"/>
        <v>310.853433</v>
      </c>
      <c r="H14" s="73">
        <f t="shared" si="3"/>
        <v>345.77066199999996</v>
      </c>
      <c r="I14" s="73">
        <f t="shared" si="3"/>
        <v>394.53862800000002</v>
      </c>
      <c r="J14" s="73">
        <f t="shared" si="3"/>
        <v>473.36614599999996</v>
      </c>
      <c r="K14" s="73">
        <f t="shared" ref="K14:Q14" si="4">K11*K13</f>
        <v>540.08218000000011</v>
      </c>
      <c r="L14" s="73">
        <f t="shared" si="4"/>
        <v>611.56364500000007</v>
      </c>
      <c r="M14" s="73">
        <f t="shared" si="4"/>
        <v>691.94058120000011</v>
      </c>
      <c r="N14" s="73">
        <f t="shared" si="4"/>
        <v>796.11607981400027</v>
      </c>
      <c r="O14" s="73">
        <f>O11*O13</f>
        <v>874.26115817469042</v>
      </c>
      <c r="P14" s="73">
        <f t="shared" si="4"/>
        <v>941.51201649582038</v>
      </c>
      <c r="Q14" s="73">
        <f t="shared" si="4"/>
        <v>960.34225682573674</v>
      </c>
    </row>
    <row r="15" spans="1:28" x14ac:dyDescent="0.25">
      <c r="A15" s="101">
        <v>0.35</v>
      </c>
      <c r="B15" s="4" t="s">
        <v>39</v>
      </c>
      <c r="C15" s="83">
        <v>108.60016200000001</v>
      </c>
      <c r="D15" s="83">
        <v>100.95454599999999</v>
      </c>
      <c r="E15" s="83">
        <v>157.79447999999999</v>
      </c>
      <c r="F15" s="83">
        <v>178.430746</v>
      </c>
      <c r="G15" s="73">
        <v>203.93425799999997</v>
      </c>
      <c r="H15" s="73">
        <v>230.19069999999999</v>
      </c>
      <c r="I15" s="73">
        <v>263.63662799999997</v>
      </c>
      <c r="J15" s="73">
        <v>300.07774599999999</v>
      </c>
      <c r="K15" s="73">
        <f t="shared" ref="K15:Q15" si="5">K14*(1-$A$15)</f>
        <v>351.05341700000008</v>
      </c>
      <c r="L15" s="73">
        <f t="shared" si="5"/>
        <v>397.51636925000008</v>
      </c>
      <c r="M15" s="73">
        <f t="shared" si="5"/>
        <v>449.76137778000009</v>
      </c>
      <c r="N15" s="73">
        <f t="shared" si="5"/>
        <v>517.47545187910021</v>
      </c>
      <c r="O15" s="73">
        <f>O14*(1-$A$15)</f>
        <v>568.26975281354885</v>
      </c>
      <c r="P15" s="73">
        <f t="shared" si="5"/>
        <v>611.98281072228326</v>
      </c>
      <c r="Q15" s="73">
        <f t="shared" si="5"/>
        <v>624.22246693672889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0.54051724137931045</v>
      </c>
      <c r="D16" s="15">
        <f t="shared" si="6"/>
        <v>0.63752455795677798</v>
      </c>
      <c r="E16" s="15">
        <f t="shared" si="6"/>
        <v>0.608108108108108</v>
      </c>
      <c r="F16" s="15">
        <f t="shared" si="6"/>
        <v>0.64719446579554196</v>
      </c>
      <c r="G16" s="15">
        <f t="shared" si="6"/>
        <v>0.65604634322954369</v>
      </c>
      <c r="H16" s="15">
        <f t="shared" si="6"/>
        <v>0.66573230553608975</v>
      </c>
      <c r="I16" s="15">
        <f t="shared" si="6"/>
        <v>0.6682149966821499</v>
      </c>
      <c r="J16" s="15">
        <f t="shared" si="6"/>
        <v>0.6339231238560098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0.89878474217717041</v>
      </c>
      <c r="H17" s="73">
        <f t="shared" ref="H17:O17" si="7">H15/H18</f>
        <v>1.0145028646981049</v>
      </c>
      <c r="I17" s="73">
        <f t="shared" si="7"/>
        <v>1.1619066901718818</v>
      </c>
      <c r="J17" s="73">
        <f t="shared" si="7"/>
        <v>1.3225110004407228</v>
      </c>
      <c r="K17" s="73">
        <f t="shared" si="7"/>
        <v>1.5471723975319527</v>
      </c>
      <c r="L17" s="73">
        <f t="shared" si="7"/>
        <v>1.7519452148523582</v>
      </c>
      <c r="M17" s="73">
        <f t="shared" si="7"/>
        <v>1.9822008716615251</v>
      </c>
      <c r="N17" s="73">
        <f t="shared" si="7"/>
        <v>2.2806322251172331</v>
      </c>
      <c r="O17" s="73">
        <f t="shared" si="7"/>
        <v>2.5044942830037411</v>
      </c>
      <c r="P17" s="73">
        <f>P15/P18</f>
        <v>2.6971476893886437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226.9</v>
      </c>
      <c r="H18" s="73">
        <f>G18*1</f>
        <v>226.9</v>
      </c>
      <c r="I18" s="73">
        <f t="shared" ref="I18:P18" si="8">H18*1</f>
        <v>226.9</v>
      </c>
      <c r="J18" s="73">
        <f t="shared" si="8"/>
        <v>226.9</v>
      </c>
      <c r="K18" s="73">
        <f t="shared" si="8"/>
        <v>226.9</v>
      </c>
      <c r="L18" s="73">
        <f t="shared" si="8"/>
        <v>226.9</v>
      </c>
      <c r="M18" s="73">
        <f t="shared" si="8"/>
        <v>226.9</v>
      </c>
      <c r="N18" s="73">
        <f t="shared" si="8"/>
        <v>226.9</v>
      </c>
      <c r="O18" s="73">
        <f t="shared" si="8"/>
        <v>226.9</v>
      </c>
      <c r="P18" s="73">
        <f t="shared" si="8"/>
        <v>226.9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185.52127177621102</v>
      </c>
      <c r="H19" s="53">
        <f>H15/(1+$C$55)^2</f>
        <v>190.49993200959011</v>
      </c>
      <c r="I19" s="53">
        <f>I15/(1+$C$55)^3</f>
        <v>198.47980535362146</v>
      </c>
      <c r="J19" s="53">
        <f>J15/(1+$C$55)^4</f>
        <v>205.51706628425623</v>
      </c>
      <c r="K19" s="53">
        <f>K15/(1+$C$55)^5</f>
        <v>218.72117643297653</v>
      </c>
      <c r="L19" s="53">
        <f>L15/(1+$C$55)^6</f>
        <v>225.30777114528877</v>
      </c>
      <c r="M19" s="53">
        <f>M15/(1+$C$55)^7</f>
        <v>231.90325188871466</v>
      </c>
      <c r="N19" s="53">
        <f>N15/(1+$C$55)^8</f>
        <v>242.72692727947245</v>
      </c>
      <c r="O19" s="53">
        <f>O15/(1+$C$55)^9</f>
        <v>242.48577799151062</v>
      </c>
      <c r="P19" s="53">
        <f>P15/(1+$C$55)^10</f>
        <v>237.56063692945526</v>
      </c>
      <c r="Q19" s="54">
        <f>(Q15/(C55-Q12))/(1+C55)^10</f>
        <v>3057.5627718365213</v>
      </c>
    </row>
    <row r="20" spans="1:18" x14ac:dyDescent="0.2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1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0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0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0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2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7" t="s">
        <v>34</v>
      </c>
      <c r="H33" s="22"/>
      <c r="I33" s="78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45031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7419.630000000001</v>
      </c>
      <c r="D49" s="47">
        <f>SUM(G19:Q19)</f>
        <v>5236.2863889276177</v>
      </c>
      <c r="E49" s="46" t="s">
        <v>47</v>
      </c>
    </row>
    <row r="50" spans="1:17" x14ac:dyDescent="0.25">
      <c r="A50" s="45"/>
      <c r="B50" s="46" t="s">
        <v>11</v>
      </c>
      <c r="C50" s="56">
        <v>226.9</v>
      </c>
      <c r="D50" s="56">
        <f>C50</f>
        <v>226.9</v>
      </c>
      <c r="E50" s="46"/>
    </row>
    <row r="51" spans="1:17" x14ac:dyDescent="0.25">
      <c r="A51" s="45"/>
      <c r="B51" s="46" t="s">
        <v>13</v>
      </c>
      <c r="C51" s="88">
        <v>32.700000000000003</v>
      </c>
      <c r="D51" s="56">
        <f>D49/(D50)</f>
        <v>23.077507223127448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0.41696413238381469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4406175.2555870367</v>
      </c>
      <c r="E57" s="46"/>
      <c r="F57" s="1" t="s">
        <v>23</v>
      </c>
      <c r="H57" s="1">
        <f>G15/(1+$B$57)</f>
        <v>184.05618953068588</v>
      </c>
      <c r="I57" s="1">
        <f>H15/(1+$B$57)^2</f>
        <v>187.50301385395346</v>
      </c>
      <c r="J57" s="1">
        <f>I15/(1+$B$57)^3</f>
        <v>193.81459010433497</v>
      </c>
      <c r="K57" s="1">
        <f>J15/(1+$B$57)^4</f>
        <v>199.10159878829711</v>
      </c>
      <c r="L57" s="1">
        <f>K15/(1+$B$57)^5</f>
        <v>210.22017953876016</v>
      </c>
      <c r="M57" s="1">
        <f>L15/(1+$B$57)^6</f>
        <v>214.84064855176962</v>
      </c>
      <c r="N57" s="1">
        <f>M15/(1+$B$57)^7</f>
        <v>219.38343689144085</v>
      </c>
      <c r="O57" s="1">
        <f>N15/(1+$B$57)^8</f>
        <v>227.80941526382568</v>
      </c>
      <c r="P57" s="1">
        <f>O15/(1+$B$57)^9</f>
        <v>225.78583742540962</v>
      </c>
      <c r="Q57" s="1">
        <f>(Q15/(B57-Q12))/(1+B57)^10</f>
        <v>2543.6603456385601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28</v>
      </c>
      <c r="D59" s="23"/>
      <c r="E59" s="24"/>
    </row>
    <row r="60" spans="1:17" x14ac:dyDescent="0.25">
      <c r="A60" s="25" t="s">
        <v>21</v>
      </c>
      <c r="C60" s="69" t="s">
        <v>40</v>
      </c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75.520135302882025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6.8645191916173331</v>
      </c>
    </row>
    <row r="67" spans="1:5" x14ac:dyDescent="0.25">
      <c r="A67" s="25"/>
      <c r="E67" s="61"/>
    </row>
    <row r="68" spans="1:5" x14ac:dyDescent="0.25">
      <c r="A68" s="105" t="s">
        <v>48</v>
      </c>
      <c r="E68" s="107">
        <f>(E66*0.375)*-1</f>
        <v>-2.5741946968564999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79.810459797642864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1.4406868439646132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9.3329851710931333E-2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1732.06</v>
      </c>
      <c r="D11" s="83">
        <v>1555.54</v>
      </c>
      <c r="E11" s="83">
        <v>1948.08</v>
      </c>
      <c r="F11" s="83">
        <v>2119.13</v>
      </c>
      <c r="G11" s="73">
        <f t="shared" ref="G11" si="0">F11*(1+G12)</f>
        <v>2405.2125500000002</v>
      </c>
      <c r="H11" s="73">
        <f t="shared" ref="H11" si="1">G11*(1+H12)</f>
        <v>2729.9162442500001</v>
      </c>
      <c r="I11" s="73">
        <f t="shared" ref="I11" si="2">H11*(1+I12)</f>
        <v>3098.4549372237502</v>
      </c>
      <c r="J11" s="73">
        <f t="shared" ref="J11" si="3">I11*(1+J12)</f>
        <v>3516.7463537489566</v>
      </c>
      <c r="K11" s="73">
        <f t="shared" ref="K11" si="4">J11*(1+K12)</f>
        <v>3991.507111505066</v>
      </c>
      <c r="L11" s="73">
        <f t="shared" ref="L11" si="5">K11*(1+L12)</f>
        <v>4530.3605715582498</v>
      </c>
      <c r="M11" s="73">
        <f t="shared" ref="M11:Q11" si="6">L11*(1+M12)</f>
        <v>5141.9592487186137</v>
      </c>
      <c r="N11" s="73">
        <f t="shared" si="6"/>
        <v>5836.1237472956263</v>
      </c>
      <c r="O11" s="73">
        <f t="shared" si="6"/>
        <v>6624.0004531805362</v>
      </c>
      <c r="P11" s="73">
        <f t="shared" si="6"/>
        <v>7220.160493966785</v>
      </c>
      <c r="Q11" s="73">
        <f t="shared" si="6"/>
        <v>7364.5637038461209</v>
      </c>
    </row>
    <row r="12" spans="1:28" x14ac:dyDescent="0.25">
      <c r="A12" s="5"/>
      <c r="B12" s="4" t="s">
        <v>1</v>
      </c>
      <c r="C12" s="87"/>
      <c r="D12" s="90">
        <f t="shared" ref="D12:F12" si="7">D11/C11-1</f>
        <v>-0.10191332863757607</v>
      </c>
      <c r="E12" s="90">
        <f t="shared" si="7"/>
        <v>0.25234966635380629</v>
      </c>
      <c r="F12" s="90">
        <f t="shared" si="7"/>
        <v>8.7804402283273797E-2</v>
      </c>
      <c r="G12" s="86">
        <v>0.13500000000000001</v>
      </c>
      <c r="H12" s="86">
        <f>G12</f>
        <v>0.13500000000000001</v>
      </c>
      <c r="I12" s="86">
        <f t="shared" ref="I12:O12" si="8">H12</f>
        <v>0.13500000000000001</v>
      </c>
      <c r="J12" s="86">
        <f t="shared" si="8"/>
        <v>0.13500000000000001</v>
      </c>
      <c r="K12" s="86">
        <f t="shared" si="8"/>
        <v>0.13500000000000001</v>
      </c>
      <c r="L12" s="86">
        <f t="shared" si="8"/>
        <v>0.13500000000000001</v>
      </c>
      <c r="M12" s="86">
        <f t="shared" si="8"/>
        <v>0.13500000000000001</v>
      </c>
      <c r="N12" s="86">
        <f t="shared" si="8"/>
        <v>0.13500000000000001</v>
      </c>
      <c r="O12" s="86">
        <f t="shared" si="8"/>
        <v>0.13500000000000001</v>
      </c>
      <c r="P12" s="86">
        <v>0.09</v>
      </c>
      <c r="Q12" s="86">
        <v>0.02</v>
      </c>
    </row>
    <row r="13" spans="1:28" ht="15.95" customHeight="1" x14ac:dyDescent="0.25">
      <c r="A13" s="5"/>
      <c r="B13" s="4" t="s">
        <v>15</v>
      </c>
      <c r="C13" s="89">
        <v>0.11600000000000001</v>
      </c>
      <c r="D13" s="89">
        <v>0.1018</v>
      </c>
      <c r="E13" s="89">
        <v>0.13320000000000001</v>
      </c>
      <c r="F13" s="89">
        <v>0.13009999999999999</v>
      </c>
      <c r="G13" s="85">
        <v>0.1381</v>
      </c>
      <c r="H13" s="85">
        <v>0.14269999999999999</v>
      </c>
      <c r="I13" s="85">
        <v>0.1507</v>
      </c>
      <c r="J13" s="85">
        <v>0.16389999999999999</v>
      </c>
      <c r="K13" s="85">
        <v>0.17</v>
      </c>
      <c r="L13" s="85">
        <v>0.17499999999999999</v>
      </c>
      <c r="M13" s="85">
        <v>0.18</v>
      </c>
      <c r="N13" s="85">
        <v>0.19</v>
      </c>
      <c r="O13" s="85">
        <v>0.19500000000000001</v>
      </c>
      <c r="P13" s="85">
        <v>0.2</v>
      </c>
      <c r="Q13" s="85">
        <v>0.2</v>
      </c>
    </row>
    <row r="14" spans="1:28" ht="17.100000000000001" customHeight="1" x14ac:dyDescent="0.25">
      <c r="A14" s="5"/>
      <c r="B14" s="4" t="s">
        <v>16</v>
      </c>
      <c r="C14" s="83">
        <f>C11*C13</f>
        <v>200.91896</v>
      </c>
      <c r="D14" s="83">
        <f t="shared" ref="D14:Q14" si="9">D11*D13</f>
        <v>158.353972</v>
      </c>
      <c r="E14" s="83">
        <f t="shared" si="9"/>
        <v>259.48425600000002</v>
      </c>
      <c r="F14" s="83">
        <f t="shared" si="9"/>
        <v>275.69881299999997</v>
      </c>
      <c r="G14" s="73">
        <f t="shared" si="9"/>
        <v>332.15985315500001</v>
      </c>
      <c r="H14" s="73">
        <f t="shared" si="9"/>
        <v>389.559048054475</v>
      </c>
      <c r="I14" s="73">
        <f t="shared" si="9"/>
        <v>466.93715903961913</v>
      </c>
      <c r="J14" s="73">
        <f t="shared" si="9"/>
        <v>576.39472737945391</v>
      </c>
      <c r="K14" s="73">
        <f t="shared" si="9"/>
        <v>678.55620895586128</v>
      </c>
      <c r="L14" s="73">
        <f t="shared" si="9"/>
        <v>792.81310002269367</v>
      </c>
      <c r="M14" s="73">
        <f t="shared" si="9"/>
        <v>925.55266476935049</v>
      </c>
      <c r="N14" s="73">
        <f t="shared" si="9"/>
        <v>1108.863511986169</v>
      </c>
      <c r="O14" s="73">
        <f>O11*O13</f>
        <v>1291.6800883702047</v>
      </c>
      <c r="P14" s="73">
        <f t="shared" si="9"/>
        <v>1444.0320987933571</v>
      </c>
      <c r="Q14" s="73">
        <f t="shared" si="9"/>
        <v>1472.9127407692242</v>
      </c>
    </row>
    <row r="15" spans="1:28" x14ac:dyDescent="0.25">
      <c r="A15" s="101">
        <v>0.35</v>
      </c>
      <c r="B15" s="4" t="s">
        <v>39</v>
      </c>
      <c r="C15" s="83">
        <v>108.60016200000001</v>
      </c>
      <c r="D15" s="83">
        <v>100.95454599999999</v>
      </c>
      <c r="E15" s="83">
        <v>157.79447999999999</v>
      </c>
      <c r="F15" s="83">
        <v>178.430746</v>
      </c>
      <c r="G15" s="73">
        <v>203.93425799999997</v>
      </c>
      <c r="H15" s="73">
        <v>230.19069999999999</v>
      </c>
      <c r="I15" s="73">
        <v>263.63662799999997</v>
      </c>
      <c r="J15" s="73">
        <v>300.07774599999999</v>
      </c>
      <c r="K15" s="73">
        <f t="shared" ref="K15:Q15" si="10">K14*(1-$A$15)</f>
        <v>441.06153582130986</v>
      </c>
      <c r="L15" s="73">
        <f t="shared" si="10"/>
        <v>515.32851501475091</v>
      </c>
      <c r="M15" s="73">
        <f t="shared" si="10"/>
        <v>601.60923210007786</v>
      </c>
      <c r="N15" s="73">
        <f t="shared" si="10"/>
        <v>720.76128279100988</v>
      </c>
      <c r="O15" s="73">
        <f>O14*(1-$A$15)</f>
        <v>839.59205744063308</v>
      </c>
      <c r="P15" s="73">
        <f t="shared" si="10"/>
        <v>938.62086421568222</v>
      </c>
      <c r="Q15" s="73">
        <f t="shared" si="10"/>
        <v>957.39328149999574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0.54051724137931045</v>
      </c>
      <c r="D16" s="15">
        <f t="shared" si="11"/>
        <v>0.63752455795677798</v>
      </c>
      <c r="E16" s="15">
        <f t="shared" si="11"/>
        <v>0.608108108108108</v>
      </c>
      <c r="F16" s="15">
        <f t="shared" si="11"/>
        <v>0.64719446579554196</v>
      </c>
      <c r="G16" s="15">
        <f t="shared" si="11"/>
        <v>0.61396419845126649</v>
      </c>
      <c r="H16" s="15">
        <f t="shared" si="11"/>
        <v>0.59090066358261217</v>
      </c>
      <c r="I16" s="15">
        <f t="shared" si="11"/>
        <v>0.56460836944791259</v>
      </c>
      <c r="J16" s="15">
        <f t="shared" si="11"/>
        <v>0.52061153883951461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0.89878474217717041</v>
      </c>
      <c r="H17" s="73">
        <f t="shared" ref="H17:O17" si="12">H15/H18</f>
        <v>1.0145028646981049</v>
      </c>
      <c r="I17" s="73">
        <f t="shared" si="12"/>
        <v>1.1619066901718818</v>
      </c>
      <c r="J17" s="73">
        <f t="shared" si="12"/>
        <v>1.3225110004407228</v>
      </c>
      <c r="K17" s="73">
        <f t="shared" si="12"/>
        <v>1.9438586858585714</v>
      </c>
      <c r="L17" s="73">
        <f t="shared" si="12"/>
        <v>2.2711701851685806</v>
      </c>
      <c r="M17" s="73">
        <f t="shared" si="12"/>
        <v>2.6514289647425202</v>
      </c>
      <c r="N17" s="73">
        <f t="shared" si="12"/>
        <v>3.1765592013706914</v>
      </c>
      <c r="O17" s="73">
        <f t="shared" si="12"/>
        <v>3.7002735012808863</v>
      </c>
      <c r="P17" s="73">
        <f>P15/P18</f>
        <v>4.1367160168165809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226.9</v>
      </c>
      <c r="H18" s="73">
        <f>G18*1</f>
        <v>226.9</v>
      </c>
      <c r="I18" s="73">
        <f t="shared" ref="I18:P18" si="13">H18*1</f>
        <v>226.9</v>
      </c>
      <c r="J18" s="73">
        <f t="shared" si="13"/>
        <v>226.9</v>
      </c>
      <c r="K18" s="73">
        <f t="shared" si="13"/>
        <v>226.9</v>
      </c>
      <c r="L18" s="73">
        <f t="shared" si="13"/>
        <v>226.9</v>
      </c>
      <c r="M18" s="73">
        <f t="shared" si="13"/>
        <v>226.9</v>
      </c>
      <c r="N18" s="73">
        <f t="shared" si="13"/>
        <v>226.9</v>
      </c>
      <c r="O18" s="73">
        <f t="shared" si="13"/>
        <v>226.9</v>
      </c>
      <c r="P18" s="73">
        <f t="shared" si="13"/>
        <v>226.9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185.52127177621102</v>
      </c>
      <c r="H19" s="53">
        <f>H15/(1+$C$55)^2</f>
        <v>190.49993200959011</v>
      </c>
      <c r="I19" s="53">
        <f>I15/(1+$C$55)^3</f>
        <v>198.47980535362146</v>
      </c>
      <c r="J19" s="53">
        <f>J15/(1+$C$55)^4</f>
        <v>205.51706628425623</v>
      </c>
      <c r="K19" s="53">
        <f>K15/(1+$C$55)^5</f>
        <v>274.80005413014482</v>
      </c>
      <c r="L19" s="53">
        <f>L15/(1+$C$55)^6</f>
        <v>292.0823596387911</v>
      </c>
      <c r="M19" s="53">
        <f>M15/(1+$C$55)^7</f>
        <v>310.19812768032767</v>
      </c>
      <c r="N19" s="53">
        <f>N15/(1+$C$55)^8</f>
        <v>338.08013662983677</v>
      </c>
      <c r="O19" s="53">
        <f>O15/(1+$C$55)^9</f>
        <v>358.26142819673044</v>
      </c>
      <c r="P19" s="53">
        <f>P15/(1+$C$55)^10</f>
        <v>364.35561004595087</v>
      </c>
      <c r="Q19" s="54">
        <f>(Q15/(C55-Q12))/(1+C55)^10</f>
        <v>4689.4980725157075</v>
      </c>
    </row>
    <row r="20" spans="1:18" x14ac:dyDescent="0.2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1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0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0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0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2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7" t="s">
        <v>34</v>
      </c>
      <c r="H33" s="22"/>
      <c r="I33" s="78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45031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7419.630000000001</v>
      </c>
      <c r="D49" s="47">
        <f>SUM(G19:Q19)</f>
        <v>7407.293864261168</v>
      </c>
      <c r="E49" s="46" t="s">
        <v>47</v>
      </c>
    </row>
    <row r="50" spans="1:17" x14ac:dyDescent="0.25">
      <c r="A50" s="45"/>
      <c r="B50" s="46" t="s">
        <v>11</v>
      </c>
      <c r="C50" s="56">
        <v>226.9</v>
      </c>
      <c r="D50" s="56">
        <f>C50</f>
        <v>226.9</v>
      </c>
      <c r="E50" s="46"/>
    </row>
    <row r="51" spans="1:17" x14ac:dyDescent="0.25">
      <c r="A51" s="45"/>
      <c r="B51" s="46" t="s">
        <v>13</v>
      </c>
      <c r="C51" s="88">
        <v>32.700000000000003</v>
      </c>
      <c r="D51" s="88">
        <f>D49/(D50)</f>
        <v>32.645631838965038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1.6654038525936166E-3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6152756.5251115281</v>
      </c>
      <c r="E57" s="46"/>
      <c r="F57" s="1" t="s">
        <v>23</v>
      </c>
      <c r="H57" s="1">
        <f>G15/(1+$B$57)</f>
        <v>184.05618953068588</v>
      </c>
      <c r="I57" s="1">
        <f>H15/(1+$B$57)^2</f>
        <v>187.50301385395346</v>
      </c>
      <c r="J57" s="1">
        <f>I15/(1+$B$57)^3</f>
        <v>193.81459010433497</v>
      </c>
      <c r="K57" s="1">
        <f>J15/(1+$B$57)^4</f>
        <v>199.10159878829711</v>
      </c>
      <c r="L57" s="1">
        <f>K15/(1+$B$57)^5</f>
        <v>264.11944951385289</v>
      </c>
      <c r="M57" s="1">
        <f>L15/(1+$B$57)^6</f>
        <v>278.51309014487686</v>
      </c>
      <c r="N57" s="1">
        <f>M15/(1+$B$57)^7</f>
        <v>293.45138894583988</v>
      </c>
      <c r="O57" s="1">
        <f>N15/(1+$B$57)^8</f>
        <v>317.30240687008796</v>
      </c>
      <c r="P57" s="1">
        <f>O15/(1+$B$57)^9</f>
        <v>333.58804484382586</v>
      </c>
      <c r="Q57" s="1">
        <f>(Q15/(B57-Q12))/(1+B57)^10</f>
        <v>3901.3067525157735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20</v>
      </c>
      <c r="D59" s="23"/>
      <c r="E59" s="24"/>
    </row>
    <row r="60" spans="1:17" x14ac:dyDescent="0.25">
      <c r="A60" s="25" t="s">
        <v>21</v>
      </c>
      <c r="C60" s="69" t="s">
        <v>40</v>
      </c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82.734320336331621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8.9110847410902849</v>
      </c>
    </row>
    <row r="67" spans="1:5" x14ac:dyDescent="0.25">
      <c r="A67" s="25"/>
      <c r="E67" s="61"/>
    </row>
    <row r="68" spans="1:5" x14ac:dyDescent="0.25">
      <c r="A68" s="106" t="s">
        <v>48</v>
      </c>
      <c r="E68" s="62">
        <f>(E66*0.375)*-1</f>
        <v>-3.3416567779088568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88.30374829951306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1.7004204372939773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0.10444257186944705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2023-04-15T07:58:13Z</dcterms:modified>
</cp:coreProperties>
</file>