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33A1121E-8091-4A4C-9897-818C8DAB71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5" l="1"/>
  <c r="J12" i="34" l="1"/>
  <c r="J12" i="32" l="1"/>
  <c r="H12" i="35" l="1"/>
  <c r="H11" i="35" s="1"/>
  <c r="I12" i="35" l="1"/>
  <c r="J12" i="35" s="1"/>
  <c r="K12" i="35" s="1"/>
  <c r="L12" i="35" s="1"/>
  <c r="M12" i="35" s="1"/>
  <c r="N12" i="35" s="1"/>
  <c r="O12" i="35" s="1"/>
  <c r="J57" i="35"/>
  <c r="I57" i="35"/>
  <c r="H57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G17" i="35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4" i="35" l="1"/>
  <c r="J16" i="35" l="1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K11" i="34" l="1"/>
  <c r="L11" i="34" s="1"/>
  <c r="L14" i="34" s="1"/>
  <c r="L15" i="34" s="1"/>
  <c r="J19" i="34" l="1"/>
  <c r="K57" i="34"/>
  <c r="J17" i="34"/>
  <c r="J16" i="34"/>
  <c r="K14" i="34"/>
  <c r="K15" i="34" s="1"/>
  <c r="K19" i="34" s="1"/>
  <c r="M11" i="34"/>
  <c r="M14" i="34" s="1"/>
  <c r="M15" i="34" s="1"/>
  <c r="L19" i="34"/>
  <c r="M57" i="34"/>
  <c r="L17" i="34"/>
  <c r="N11" i="34" l="1"/>
  <c r="N14" i="34" s="1"/>
  <c r="N15" i="34" s="1"/>
  <c r="L57" i="34"/>
  <c r="K17" i="34"/>
  <c r="M19" i="34"/>
  <c r="M17" i="34"/>
  <c r="N57" i="34"/>
  <c r="O11" i="34" l="1"/>
  <c r="O14" i="34" s="1"/>
  <c r="O15" i="34" s="1"/>
  <c r="O57" i="34"/>
  <c r="N17" i="34"/>
  <c r="N19" i="34"/>
  <c r="P11" i="34" l="1"/>
  <c r="P14" i="34" s="1"/>
  <c r="P15" i="34" s="1"/>
  <c r="O17" i="34"/>
  <c r="P57" i="34"/>
  <c r="O19" i="34"/>
  <c r="Q11" i="34" l="1"/>
  <c r="Q14" i="34" s="1"/>
  <c r="Q15" i="34" s="1"/>
  <c r="D44" i="34" s="1"/>
  <c r="P19" i="34"/>
  <c r="P17" i="34"/>
  <c r="D40" i="34" l="1"/>
  <c r="D41" i="34"/>
  <c r="D43" i="34"/>
  <c r="Q19" i="34"/>
  <c r="D49" i="34" s="1"/>
  <c r="D51" i="34" s="1"/>
  <c r="D53" i="34" s="1"/>
  <c r="Q57" i="34"/>
  <c r="D57" i="34" s="1"/>
  <c r="D42" i="34"/>
  <c r="E62" i="34"/>
  <c r="E66" i="34"/>
  <c r="E68" i="34" s="1"/>
  <c r="D52" i="34" l="1"/>
  <c r="E70" i="34"/>
  <c r="E74" i="34" s="1"/>
  <c r="E72" i="34" l="1"/>
  <c r="J14" i="32"/>
  <c r="J17" i="32" l="1"/>
  <c r="J19" i="32"/>
  <c r="K57" i="32"/>
  <c r="J16" i="32"/>
  <c r="K11" i="32"/>
  <c r="L11" i="32" s="1"/>
  <c r="K14" i="32" l="1"/>
  <c r="K15" i="32" s="1"/>
  <c r="K17" i="32" s="1"/>
  <c r="L14" i="32"/>
  <c r="L15" i="32" s="1"/>
  <c r="M11" i="32"/>
  <c r="L57" i="32" l="1"/>
  <c r="K19" i="32"/>
  <c r="M14" i="32"/>
  <c r="M15" i="32" s="1"/>
  <c r="N11" i="32"/>
  <c r="M57" i="32"/>
  <c r="L17" i="32"/>
  <c r="L19" i="32"/>
  <c r="N14" i="32" l="1"/>
  <c r="N15" i="32" s="1"/>
  <c r="O11" i="32"/>
  <c r="M17" i="32"/>
  <c r="N57" i="32"/>
  <c r="M19" i="32"/>
  <c r="P11" i="32" l="1"/>
  <c r="O14" i="32"/>
  <c r="O15" i="32" s="1"/>
  <c r="N17" i="32"/>
  <c r="N19" i="32"/>
  <c r="O57" i="32"/>
  <c r="P57" i="32" l="1"/>
  <c r="O17" i="32"/>
  <c r="O19" i="32"/>
  <c r="Q11" i="32"/>
  <c r="Q14" i="32" s="1"/>
  <c r="Q15" i="32" s="1"/>
  <c r="P14" i="32"/>
  <c r="P15" i="32" s="1"/>
  <c r="D43" i="32" l="1"/>
  <c r="D41" i="32"/>
  <c r="D40" i="32"/>
  <c r="D42" i="32"/>
  <c r="D44" i="32"/>
  <c r="P19" i="32"/>
  <c r="P17" i="32"/>
  <c r="Q57" i="32"/>
  <c r="D57" i="32" s="1"/>
  <c r="Q19" i="32"/>
  <c r="D49" i="32" l="1"/>
  <c r="D51" i="32" s="1"/>
  <c r="D52" i="32" s="1"/>
  <c r="E62" i="32"/>
  <c r="E66" i="32"/>
  <c r="E68" i="32" s="1"/>
  <c r="D53" i="32" l="1"/>
  <c r="E70" i="32"/>
  <c r="E72" i="32" l="1"/>
  <c r="E74" i="32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<sst xmlns="http://schemas.openxmlformats.org/spreadsheetml/2006/main" count="149" uniqueCount="49">
  <si>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</si>
  <si>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</si>
  <si>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</si>
  <si>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</si>
  <si>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</si>
  <si>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</si>
  <si>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</si>
  <si>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</si>
  <si>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</si>
  <si>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</si>
  <si>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</si>
  <si>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</si>
  <si>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</si>
  <si>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</si>
  <si>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</si>
  <si>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</si>
  <si>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</si>
  <si>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</si>
  <si>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</si>
  <si>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</si>
  <si>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</si>
  <si>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</si>
  <si>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</si>
  <si>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</si>
  <si>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</si>
  <si>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</si>
  <si>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</si>
  <si>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</si>
  <si>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</si>
  <si>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</si>
  <si>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</si>
  <si>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</si>
  <si>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</si>
  <si>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</si>
  <si>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</si>
  <si>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</si>
  <si>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</si>
  <si>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</si>
  <si>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</si>
  <si>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</si>
  <si>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</si>
  <si>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</si>
  <si>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</si>
  <si>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</si>
  <si>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</si>
  <si>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</si>
  <si>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USD</t>
  </si>
  <si>
    <t>Quellensteuer USA (25 %)</t>
  </si>
  <si>
    <t xml:space="preserve"> Annahmen für Johnson&amp;Johnson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</si>
</sst>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51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4">
        <v>82113</v>
      </c>
      <c r="D11" s="84">
        <v>82572</v>
      </c>
      <c r="E11" s="84">
        <v>93758</v>
      </c>
      <c r="F11" s="84">
        <v>95015</v>
      </c>
      <c r="G11" s="74">
        <v>97692.83</v>
      </c>
      <c r="H11" s="74">
        <v>100140.56</v>
      </c>
      <c r="I11" s="74">
        <v>102915.69</v>
      </c>
      <c r="J11" s="74">
        <v>105813.68</v>
      </c>
      <c r="K11" s="74">
        <f t="shared" ref="K11" si="0">J11*(1+K12)</f>
        <v>108988.0904</v>
      </c>
      <c r="L11" s="74">
        <f t="shared" ref="L11:Q11" si="1">K11*(1+L12)</f>
        <v>112257.733112</v>
      </c>
      <c r="M11" s="74">
        <f t="shared" si="1"/>
        <v>115625.46510536001</v>
      </c>
      <c r="N11" s="74">
        <f t="shared" si="1"/>
        <v>117937.97440746721</v>
      </c>
      <c r="O11" s="74">
        <f t="shared" si="1"/>
        <v>120296.73389561655</v>
      </c>
      <c r="P11" s="74">
        <f t="shared" si="1"/>
        <v>122702.66857352888</v>
      </c>
      <c r="Q11" s="74">
        <f t="shared" si="1"/>
        <v>124543.2086021318</v>
      </c>
    </row>
    <row r="12" spans="1:28" x14ac:dyDescent="0.35">
      <c r="A12" s="5"/>
      <c r="B12" s="4" t="s">
        <v>1</v>
      </c>
      <c r="C12" s="88"/>
      <c r="D12" s="91">
        <f t="shared" ref="D12:J12" si="2">D11/C11-1</f>
        <v>5.5898578787767494E-3</v>
      </c>
      <c r="E12" s="91">
        <f t="shared" si="2"/>
        <v>0.1354696507290607</v>
      </c>
      <c r="F12" s="91">
        <f t="shared" si="2"/>
        <v>1.3406855948292495E-2</v>
      </c>
      <c r="G12" s="87">
        <f t="shared" si="2"/>
        <v>2.8183234226174747E-2</v>
      </c>
      <c r="H12" s="87">
        <f t="shared" si="2"/>
        <v>2.5055369979557263E-2</v>
      </c>
      <c r="I12" s="87">
        <f t="shared" si="2"/>
        <v>2.7712347524319947E-2</v>
      </c>
      <c r="J12" s="87">
        <f t="shared" si="2"/>
        <v>2.8158874511748255E-2</v>
      </c>
      <c r="K12" s="87">
        <v>0.03</v>
      </c>
      <c r="L12" s="73">
        <v>0.03</v>
      </c>
      <c r="M12" s="73">
        <v>0.03</v>
      </c>
      <c r="N12" s="73">
        <v>0.02</v>
      </c>
      <c r="O12" s="73">
        <v>0.02</v>
      </c>
      <c r="P12" s="73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90">
        <v>0.26240000000000002</v>
      </c>
      <c r="D13" s="90">
        <v>0.24790000000000001</v>
      </c>
      <c r="E13" s="90">
        <v>0.2611</v>
      </c>
      <c r="F13" s="90">
        <v>0.26079999999999998</v>
      </c>
      <c r="G13" s="86">
        <v>0.31859999999999999</v>
      </c>
      <c r="H13" s="86">
        <v>0.32190000000000002</v>
      </c>
      <c r="I13" s="86">
        <v>0.32179999999999997</v>
      </c>
      <c r="J13" s="86">
        <v>0.32279999999999998</v>
      </c>
      <c r="K13" s="86">
        <v>0.32</v>
      </c>
      <c r="L13" s="86">
        <v>0.32</v>
      </c>
      <c r="M13" s="86">
        <v>0.315</v>
      </c>
      <c r="N13" s="86">
        <v>0.31</v>
      </c>
      <c r="O13" s="86">
        <v>0.31</v>
      </c>
      <c r="P13" s="86">
        <v>0.3</v>
      </c>
      <c r="Q13" s="86">
        <v>0.3</v>
      </c>
    </row>
    <row r="14" spans="1:28" ht="17.149999999999999" customHeight="1" x14ac:dyDescent="0.35">
      <c r="A14" s="5"/>
      <c r="B14" s="4" t="s">
        <v>16</v>
      </c>
      <c r="C14" s="84">
        <f>C11*C13</f>
        <v>21546.451200000003</v>
      </c>
      <c r="D14" s="84">
        <f t="shared" ref="D14:I14" si="3">D11*D13</f>
        <v>20469.5988</v>
      </c>
      <c r="E14" s="84">
        <f t="shared" si="3"/>
        <v>24480.213800000001</v>
      </c>
      <c r="F14" s="84">
        <f t="shared" si="3"/>
        <v>24779.911999999997</v>
      </c>
      <c r="G14" s="74">
        <f t="shared" si="3"/>
        <v>31124.935637999999</v>
      </c>
      <c r="H14" s="74">
        <f t="shared" si="3"/>
        <v>32235.246264000001</v>
      </c>
      <c r="I14" s="74">
        <f t="shared" si="3"/>
        <v>33118.269042</v>
      </c>
      <c r="J14" s="74">
        <f>J11*J13</f>
        <v>34156.655903999992</v>
      </c>
      <c r="K14" s="74">
        <f t="shared" ref="K14:Q14" si="4">K11*K13</f>
        <v>34876.188928000003</v>
      </c>
      <c r="L14" s="74">
        <f t="shared" si="4"/>
        <v>35922.474595840002</v>
      </c>
      <c r="M14" s="74">
        <f t="shared" si="4"/>
        <v>36422.021508188402</v>
      </c>
      <c r="N14" s="74">
        <f t="shared" si="4"/>
        <v>36560.772066314836</v>
      </c>
      <c r="O14" s="74">
        <f t="shared" si="4"/>
        <v>37291.987507641126</v>
      </c>
      <c r="P14" s="74">
        <f>P11*P13</f>
        <v>36810.800572058659</v>
      </c>
      <c r="Q14" s="74">
        <f t="shared" si="4"/>
        <v>37362.962580639534</v>
      </c>
    </row>
    <row r="15" spans="1:28" x14ac:dyDescent="0.35">
      <c r="A15" s="102">
        <v>0.2</v>
      </c>
      <c r="B15" s="4" t="s">
        <v>39</v>
      </c>
      <c r="C15" s="84">
        <v>15117.0033</v>
      </c>
      <c r="D15" s="84">
        <v>14714.330399999999</v>
      </c>
      <c r="E15" s="84">
        <v>20879.906600000002</v>
      </c>
      <c r="F15" s="84">
        <v>17938.831999999999</v>
      </c>
      <c r="G15" s="74">
        <v>27754.533003000004</v>
      </c>
      <c r="H15" s="74">
        <v>28590.129879999997</v>
      </c>
      <c r="I15" s="74">
        <v>29413.304201999999</v>
      </c>
      <c r="J15" s="74">
        <v>29987.596911999997</v>
      </c>
      <c r="K15" s="74">
        <f t="shared" ref="K15:Q15" si="5">K14*(1-$A$15)</f>
        <v>27900.951142400005</v>
      </c>
      <c r="L15" s="74">
        <f t="shared" si="5"/>
        <v>28737.979676672003</v>
      </c>
      <c r="M15" s="74">
        <f t="shared" si="5"/>
        <v>29137.617206550723</v>
      </c>
      <c r="N15" s="74">
        <f t="shared" si="5"/>
        <v>29248.617653051871</v>
      </c>
      <c r="O15" s="74">
        <f t="shared" si="5"/>
        <v>29833.590006112903</v>
      </c>
      <c r="P15" s="74">
        <f>P14*(1-$A$15)</f>
        <v>29448.640457646929</v>
      </c>
      <c r="Q15" s="74">
        <f t="shared" si="5"/>
        <v>29890.37006451163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0.7016006097560975</v>
      </c>
      <c r="D16" s="15">
        <f t="shared" si="6"/>
        <v>0.71883824122630091</v>
      </c>
      <c r="E16" s="15">
        <f t="shared" si="6"/>
        <v>0.8529299119111452</v>
      </c>
      <c r="F16" s="15">
        <f t="shared" si="6"/>
        <v>0.7239263803680982</v>
      </c>
      <c r="G16" s="15">
        <f t="shared" si="6"/>
        <v>0.89171374764595124</v>
      </c>
      <c r="H16" s="15">
        <f t="shared" si="6"/>
        <v>0.88692140416278331</v>
      </c>
      <c r="I16" s="15">
        <f t="shared" si="6"/>
        <v>0.88812927284027343</v>
      </c>
      <c r="J16" s="15">
        <f t="shared" si="6"/>
        <v>0.8779429987608427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10.41875933893915</v>
      </c>
      <c r="H17" s="74">
        <f t="shared" ref="H17:P17" si="7">H15/H18</f>
        <v>10.743176781646692</v>
      </c>
      <c r="I17" s="74">
        <f t="shared" si="7"/>
        <v>11.063560632199808</v>
      </c>
      <c r="J17" s="74">
        <f t="shared" si="7"/>
        <v>11.290866747491979</v>
      </c>
      <c r="K17" s="74">
        <f t="shared" si="7"/>
        <v>10.515723005922952</v>
      </c>
      <c r="L17" s="74">
        <f t="shared" si="7"/>
        <v>10.842036732833472</v>
      </c>
      <c r="M17" s="74">
        <f t="shared" si="7"/>
        <v>11.003812618768206</v>
      </c>
      <c r="N17" s="74">
        <f t="shared" si="7"/>
        <v>11.056788693628572</v>
      </c>
      <c r="O17" s="74">
        <f t="shared" si="7"/>
        <v>11.289213681182323</v>
      </c>
      <c r="P17" s="74">
        <f t="shared" si="7"/>
        <v>11.15470110898573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2663.9</v>
      </c>
      <c r="H18" s="74">
        <f>G18*0.999</f>
        <v>2661.2361000000001</v>
      </c>
      <c r="I18" s="74">
        <f t="shared" ref="I18:P18" si="8">H18*0.999</f>
        <v>2658.5748638999999</v>
      </c>
      <c r="J18" s="74">
        <f t="shared" si="8"/>
        <v>2655.9162890360999</v>
      </c>
      <c r="K18" s="74">
        <f t="shared" si="8"/>
        <v>2653.2603727470637</v>
      </c>
      <c r="L18" s="74">
        <f t="shared" si="8"/>
        <v>2650.6071123743168</v>
      </c>
      <c r="M18" s="74">
        <f t="shared" si="8"/>
        <v>2647.9565052619423</v>
      </c>
      <c r="N18" s="74">
        <f t="shared" si="8"/>
        <v>2645.3085487566805</v>
      </c>
      <c r="O18" s="74">
        <f t="shared" si="8"/>
        <v>2642.663240207924</v>
      </c>
      <c r="P18" s="74">
        <f t="shared" si="8"/>
        <v>2640.0205769677159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25323.479017335769</v>
      </c>
      <c r="H19" s="53">
        <f>H15/(1+$C$55)^2</f>
        <v>23800.989896904463</v>
      </c>
      <c r="I19" s="53">
        <f>I15/(1+$C$55)^3</f>
        <v>22341.490946412738</v>
      </c>
      <c r="J19" s="53">
        <f>J15/(1+$C$55)^4</f>
        <v>20782.579376432022</v>
      </c>
      <c r="K19" s="53">
        <f>K15/(1+$C$55)^5</f>
        <v>17642.748281998043</v>
      </c>
      <c r="L19" s="53">
        <f>L15/(1+$C$55)^6</f>
        <v>16580.320009541952</v>
      </c>
      <c r="M19" s="53">
        <f>M15/(1+$C$55)^7</f>
        <v>15338.403361929422</v>
      </c>
      <c r="N19" s="53">
        <f>N15/(1+$C$55)^8</f>
        <v>14048.207458701432</v>
      </c>
      <c r="O19" s="53">
        <f>O15/(1+$C$55)^9</f>
        <v>13074.061686017752</v>
      </c>
      <c r="P19" s="53">
        <f>P15/(1+$C$55)^10</f>
        <v>11774.967259010569</v>
      </c>
      <c r="Q19" s="54">
        <f>(Q15/(C55-Q12))/(1+C55)^10</f>
        <v>147550.51565303365</v>
      </c>
    </row>
    <row r="20" spans="1:18" x14ac:dyDescent="0.3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3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3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35">
      <c r="A29" s="35"/>
      <c r="B29" s="36"/>
      <c r="C29" s="36"/>
      <c r="D29" s="39"/>
      <c r="F29" s="36"/>
      <c r="G29" s="95" t="s">
        <v>35</v>
      </c>
      <c r="H29" s="6"/>
      <c r="I29" s="81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3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95"/>
      <c r="H32" s="6"/>
      <c r="I32" s="6"/>
      <c r="J32" s="26"/>
    </row>
    <row r="33" spans="1:10" x14ac:dyDescent="0.35">
      <c r="A33" s="25"/>
      <c r="G33" s="99" t="s">
        <v>34</v>
      </c>
      <c r="H33" s="100"/>
      <c r="I33" s="101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45024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439943.08500000002</v>
      </c>
      <c r="D49" s="47">
        <f>SUM(G19:Q19)</f>
        <v>328257.76294731779</v>
      </c>
      <c r="E49" s="46" t="s">
        <v>46</v>
      </c>
    </row>
    <row r="50" spans="1:17" x14ac:dyDescent="0.35">
      <c r="A50" s="45"/>
      <c r="B50" s="46" t="s">
        <v>11</v>
      </c>
      <c r="C50" s="56">
        <v>2663.9</v>
      </c>
      <c r="D50" s="56">
        <f>C50</f>
        <v>2663.9</v>
      </c>
      <c r="E50" s="46"/>
    </row>
    <row r="51" spans="1:17" x14ac:dyDescent="0.35">
      <c r="A51" s="45"/>
      <c r="B51" s="46" t="s">
        <v>13</v>
      </c>
      <c r="C51" s="89">
        <v>165.15</v>
      </c>
      <c r="D51" s="56">
        <f>D49/(D50)</f>
        <v>123.22450653076984</v>
      </c>
      <c r="E51" s="46" t="s">
        <v>46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0.34023665137389814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276292131.68380529</v>
      </c>
      <c r="E57" s="46"/>
      <c r="F57" s="1" t="s">
        <v>23</v>
      </c>
      <c r="H57" s="1">
        <f>G15/(1+$B$57)</f>
        <v>25049.217511732855</v>
      </c>
      <c r="I57" s="1">
        <f>H15/(1+$B$57)^2</f>
        <v>23288.236748817257</v>
      </c>
      <c r="J57" s="1">
        <f>I15/(1+$B$57)^3</f>
        <v>21623.427445463851</v>
      </c>
      <c r="K57" s="1">
        <f>J15/(1+$B$57)^4</f>
        <v>19896.771981878992</v>
      </c>
      <c r="L57" s="1">
        <f>K15/(1+$B$57)^5</f>
        <v>16707.83611389119</v>
      </c>
      <c r="M57" s="1">
        <f>L15/(1+$B$57)^6</f>
        <v>15531.652705151555</v>
      </c>
      <c r="N57" s="1">
        <f>M15/(1+$B$57)^7</f>
        <v>14212.671255038418</v>
      </c>
      <c r="O57" s="1">
        <f>N15/(1+$B$57)^8</f>
        <v>12876.186610633049</v>
      </c>
      <c r="P57" s="1">
        <f>O15/(1+$B$57)^9</f>
        <v>11853.529190293957</v>
      </c>
      <c r="Q57" s="1">
        <f>(Q15/(B57-Q12))/(1+B57)^10</f>
        <v>115252.60212090416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15</v>
      </c>
      <c r="D59" s="23"/>
      <c r="E59" s="24"/>
    </row>
    <row r="60" spans="1:17" x14ac:dyDescent="0.35">
      <c r="A60" s="25" t="s">
        <v>21</v>
      </c>
      <c r="C60" s="70"/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167.32051663478595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54.689319670799449</v>
      </c>
    </row>
    <row r="67" spans="1:5" x14ac:dyDescent="0.35">
      <c r="A67" s="25"/>
      <c r="E67" s="61"/>
    </row>
    <row r="68" spans="1:5" x14ac:dyDescent="0.35">
      <c r="A68" s="62" t="s">
        <v>47</v>
      </c>
      <c r="E68" s="63">
        <f>(E66*0.25)*-1</f>
        <v>-13.672329917699862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208.33750638788553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0.26150473138289754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2.350245420248509E-2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50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4">
        <v>82113</v>
      </c>
      <c r="D11" s="84">
        <v>82572</v>
      </c>
      <c r="E11" s="84">
        <v>93758</v>
      </c>
      <c r="F11" s="84">
        <v>95015</v>
      </c>
      <c r="G11" s="74">
        <v>97692.83</v>
      </c>
      <c r="H11" s="74">
        <v>100140.56</v>
      </c>
      <c r="I11" s="74">
        <v>102915.69</v>
      </c>
      <c r="J11" s="74">
        <v>105813.68</v>
      </c>
      <c r="K11" s="74">
        <f t="shared" ref="K11" si="0">J11*(1+K12)</f>
        <v>111104.364</v>
      </c>
      <c r="L11" s="74">
        <f t="shared" ref="L11:Q11" si="1">K11*(1+L12)</f>
        <v>116104.06038</v>
      </c>
      <c r="M11" s="74">
        <f t="shared" si="1"/>
        <v>120748.2227952</v>
      </c>
      <c r="N11" s="74">
        <f t="shared" si="1"/>
        <v>124370.669479056</v>
      </c>
      <c r="O11" s="74">
        <f t="shared" si="1"/>
        <v>128101.78956342768</v>
      </c>
      <c r="P11" s="74">
        <f t="shared" si="1"/>
        <v>131304.33430251337</v>
      </c>
      <c r="Q11" s="74">
        <f t="shared" si="1"/>
        <v>133930.42098856362</v>
      </c>
    </row>
    <row r="12" spans="1:28" x14ac:dyDescent="0.35">
      <c r="A12" s="5"/>
      <c r="B12" s="4" t="s">
        <v>1</v>
      </c>
      <c r="C12" s="91"/>
      <c r="D12" s="91">
        <f t="shared" ref="D12:J12" si="2">D11/C11-1</f>
        <v>5.5898578787767494E-3</v>
      </c>
      <c r="E12" s="91">
        <f t="shared" si="2"/>
        <v>0.1354696507290607</v>
      </c>
      <c r="F12" s="91">
        <f t="shared" si="2"/>
        <v>1.3406855948292495E-2</v>
      </c>
      <c r="G12" s="87">
        <f t="shared" si="2"/>
        <v>2.8183234226174747E-2</v>
      </c>
      <c r="H12" s="87">
        <f t="shared" si="2"/>
        <v>2.5055369979557263E-2</v>
      </c>
      <c r="I12" s="87">
        <f t="shared" si="2"/>
        <v>2.7712347524319947E-2</v>
      </c>
      <c r="J12" s="87">
        <f t="shared" si="2"/>
        <v>2.8158874511748255E-2</v>
      </c>
      <c r="K12" s="87">
        <v>0.05</v>
      </c>
      <c r="L12" s="73">
        <v>4.4999999999999998E-2</v>
      </c>
      <c r="M12" s="73">
        <v>0.04</v>
      </c>
      <c r="N12" s="73">
        <v>0.03</v>
      </c>
      <c r="O12" s="73">
        <v>0.03</v>
      </c>
      <c r="P12" s="73">
        <v>2.5000000000000001E-2</v>
      </c>
      <c r="Q12" s="12">
        <v>0.02</v>
      </c>
    </row>
    <row r="13" spans="1:28" ht="16" customHeight="1" x14ac:dyDescent="0.35">
      <c r="A13" s="5"/>
      <c r="B13" s="4" t="s">
        <v>15</v>
      </c>
      <c r="C13" s="90">
        <v>0.26240000000000002</v>
      </c>
      <c r="D13" s="90">
        <v>0.24790000000000001</v>
      </c>
      <c r="E13" s="90">
        <v>0.2611</v>
      </c>
      <c r="F13" s="90">
        <v>0.26079999999999998</v>
      </c>
      <c r="G13" s="86">
        <v>0.31859999999999999</v>
      </c>
      <c r="H13" s="86">
        <v>0.32190000000000002</v>
      </c>
      <c r="I13" s="86">
        <v>0.32179999999999997</v>
      </c>
      <c r="J13" s="86">
        <v>0.32279999999999998</v>
      </c>
      <c r="K13" s="86">
        <v>0.33</v>
      </c>
      <c r="L13" s="86">
        <v>0.33</v>
      </c>
      <c r="M13" s="86">
        <v>0.34</v>
      </c>
      <c r="N13" s="86">
        <v>0.34</v>
      </c>
      <c r="O13" s="86">
        <v>0.34</v>
      </c>
      <c r="P13" s="86">
        <v>0.35</v>
      </c>
      <c r="Q13" s="86">
        <v>0.35</v>
      </c>
    </row>
    <row r="14" spans="1:28" ht="17.149999999999999" customHeight="1" x14ac:dyDescent="0.35">
      <c r="A14" s="5"/>
      <c r="B14" s="4" t="s">
        <v>16</v>
      </c>
      <c r="C14" s="84">
        <f>C11*C13</f>
        <v>21546.451200000003</v>
      </c>
      <c r="D14" s="84">
        <f t="shared" ref="D14:J14" si="3">D11*D13</f>
        <v>20469.5988</v>
      </c>
      <c r="E14" s="84">
        <f t="shared" si="3"/>
        <v>24480.213800000001</v>
      </c>
      <c r="F14" s="84">
        <f t="shared" si="3"/>
        <v>24779.911999999997</v>
      </c>
      <c r="G14" s="74">
        <f t="shared" si="3"/>
        <v>31124.935637999999</v>
      </c>
      <c r="H14" s="74">
        <f t="shared" si="3"/>
        <v>32235.246264000001</v>
      </c>
      <c r="I14" s="74">
        <f t="shared" si="3"/>
        <v>33118.269042</v>
      </c>
      <c r="J14" s="74">
        <f t="shared" si="3"/>
        <v>34156.655903999992</v>
      </c>
      <c r="K14" s="74">
        <f t="shared" ref="K14:Q14" si="4">K11*K13</f>
        <v>36664.440119999999</v>
      </c>
      <c r="L14" s="74">
        <f t="shared" si="4"/>
        <v>38314.339925400003</v>
      </c>
      <c r="M14" s="74">
        <f t="shared" si="4"/>
        <v>41054.395750367999</v>
      </c>
      <c r="N14" s="74">
        <f t="shared" si="4"/>
        <v>42286.027622879046</v>
      </c>
      <c r="O14" s="74">
        <f>O11*O13</f>
        <v>43554.608451565415</v>
      </c>
      <c r="P14" s="74">
        <f t="shared" si="4"/>
        <v>45956.517005879672</v>
      </c>
      <c r="Q14" s="74">
        <f t="shared" si="4"/>
        <v>46875.647345997262</v>
      </c>
    </row>
    <row r="15" spans="1:28" x14ac:dyDescent="0.35">
      <c r="A15" s="102">
        <v>0.2</v>
      </c>
      <c r="B15" s="4" t="s">
        <v>39</v>
      </c>
      <c r="C15" s="84">
        <v>15117.0033</v>
      </c>
      <c r="D15" s="84">
        <v>14714.330399999999</v>
      </c>
      <c r="E15" s="84">
        <v>20879.906600000002</v>
      </c>
      <c r="F15" s="84">
        <v>17938.831999999999</v>
      </c>
      <c r="G15" s="74">
        <v>27754.533003000004</v>
      </c>
      <c r="H15" s="74">
        <v>28590.129879999997</v>
      </c>
      <c r="I15" s="74">
        <v>29413.304201999999</v>
      </c>
      <c r="J15" s="74">
        <v>29987.596911999997</v>
      </c>
      <c r="K15" s="74">
        <f t="shared" ref="K15:Q15" si="5">K14*(1-$A$15)</f>
        <v>29331.552095999999</v>
      </c>
      <c r="L15" s="74">
        <f t="shared" si="5"/>
        <v>30651.471940320003</v>
      </c>
      <c r="M15" s="74">
        <f t="shared" si="5"/>
        <v>32843.516600294402</v>
      </c>
      <c r="N15" s="74">
        <f t="shared" si="5"/>
        <v>33828.822098303237</v>
      </c>
      <c r="O15" s="74">
        <f>O14*(1-$A$15)</f>
        <v>34843.686761252335</v>
      </c>
      <c r="P15" s="74">
        <f t="shared" si="5"/>
        <v>36765.213604703742</v>
      </c>
      <c r="Q15" s="74">
        <f t="shared" si="5"/>
        <v>37500.517876797814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0.7016006097560975</v>
      </c>
      <c r="D16" s="15">
        <f t="shared" si="6"/>
        <v>0.71883824122630091</v>
      </c>
      <c r="E16" s="15">
        <f t="shared" si="6"/>
        <v>0.8529299119111452</v>
      </c>
      <c r="F16" s="15">
        <f t="shared" si="6"/>
        <v>0.7239263803680982</v>
      </c>
      <c r="G16" s="15">
        <f t="shared" si="6"/>
        <v>0.89171374764595124</v>
      </c>
      <c r="H16" s="15">
        <f t="shared" si="6"/>
        <v>0.88692140416278331</v>
      </c>
      <c r="I16" s="15">
        <f t="shared" si="6"/>
        <v>0.88812927284027343</v>
      </c>
      <c r="J16" s="15">
        <f t="shared" si="6"/>
        <v>0.8779429987608427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10.41875933893915</v>
      </c>
      <c r="H17" s="74">
        <f t="shared" ref="H17:O17" si="7">H15/H18</f>
        <v>10.7593319347018</v>
      </c>
      <c r="I17" s="74">
        <f t="shared" si="7"/>
        <v>11.096859516707596</v>
      </c>
      <c r="J17" s="74">
        <f t="shared" si="7"/>
        <v>11.341879622703093</v>
      </c>
      <c r="K17" s="74">
        <f t="shared" si="7"/>
        <v>11.121554880190233</v>
      </c>
      <c r="L17" s="74">
        <f t="shared" si="7"/>
        <v>11.651152731627866</v>
      </c>
      <c r="M17" s="74">
        <f t="shared" si="7"/>
        <v>12.515675874242008</v>
      </c>
      <c r="N17" s="74">
        <f t="shared" si="7"/>
        <v>12.923454787437862</v>
      </c>
      <c r="O17" s="74">
        <f t="shared" si="7"/>
        <v>13.344519730386965</v>
      </c>
      <c r="P17" s="74">
        <f>P15/P18</f>
        <v>14.115720045042968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2663.9</v>
      </c>
      <c r="H18" s="74">
        <f>G18*0.9975</f>
        <v>2657.2402500000003</v>
      </c>
      <c r="I18" s="74">
        <f t="shared" ref="I18:P18" si="8">H18*0.9975</f>
        <v>2650.5971493750003</v>
      </c>
      <c r="J18" s="74">
        <f t="shared" si="8"/>
        <v>2643.9706565015631</v>
      </c>
      <c r="K18" s="74">
        <f t="shared" si="8"/>
        <v>2637.3607298603092</v>
      </c>
      <c r="L18" s="74">
        <f t="shared" si="8"/>
        <v>2630.7673280356585</v>
      </c>
      <c r="M18" s="74">
        <f t="shared" si="8"/>
        <v>2624.1904097155693</v>
      </c>
      <c r="N18" s="74">
        <f t="shared" si="8"/>
        <v>2617.6299336912807</v>
      </c>
      <c r="O18" s="74">
        <f t="shared" si="8"/>
        <v>2611.0858588570527</v>
      </c>
      <c r="P18" s="74">
        <f t="shared" si="8"/>
        <v>2604.5581442099101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25323.479017335769</v>
      </c>
      <c r="H19" s="53">
        <f>H15/(1+$C$55)^2</f>
        <v>23800.989896904463</v>
      </c>
      <c r="I19" s="53">
        <f>I15/(1+$C$55)^3</f>
        <v>22341.490946412738</v>
      </c>
      <c r="J19" s="53">
        <f>J15/(1+$C$55)^4</f>
        <v>20782.579376432022</v>
      </c>
      <c r="K19" s="53">
        <f>K15/(1+$C$55)^5</f>
        <v>18547.367353496116</v>
      </c>
      <c r="L19" s="53">
        <f>L15/(1+$C$55)^6</f>
        <v>17684.305551462996</v>
      </c>
      <c r="M19" s="53">
        <f>M15/(1+$C$55)^7</f>
        <v>17289.234801474551</v>
      </c>
      <c r="N19" s="53">
        <f>N15/(1+$C$55)^8</f>
        <v>16248.094749560933</v>
      </c>
      <c r="O19" s="53">
        <f>O15/(1+$C$55)^9</f>
        <v>15269.651087634818</v>
      </c>
      <c r="P19" s="53">
        <f>P15/(1+$C$55)^10</f>
        <v>14700.481235747609</v>
      </c>
      <c r="Q19" s="54">
        <f>(Q15/(C55-Q12))/(1+C55)^10</f>
        <v>197295.93237450733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45024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439943.08500000002</v>
      </c>
      <c r="D49" s="47">
        <f>SUM(G19:Q19)</f>
        <v>389283.60639096936</v>
      </c>
      <c r="E49" s="46" t="s">
        <v>46</v>
      </c>
    </row>
    <row r="50" spans="1:17" x14ac:dyDescent="0.35">
      <c r="A50" s="45"/>
      <c r="B50" s="46" t="s">
        <v>11</v>
      </c>
      <c r="C50" s="56">
        <v>2663.9</v>
      </c>
      <c r="D50" s="56">
        <f>C50</f>
        <v>2663.9</v>
      </c>
      <c r="E50" s="46"/>
    </row>
    <row r="51" spans="1:17" x14ac:dyDescent="0.35">
      <c r="A51" s="45"/>
      <c r="B51" s="46" t="s">
        <v>13</v>
      </c>
      <c r="C51" s="89">
        <v>165.15</v>
      </c>
      <c r="D51" s="56">
        <f>D49/(D50)</f>
        <v>146.13296534816223</v>
      </c>
      <c r="E51" s="46" t="s">
        <v>46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0.13013514511615942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321556834.65643984</v>
      </c>
      <c r="E57" s="46"/>
      <c r="F57" s="1" t="s">
        <v>23</v>
      </c>
      <c r="H57" s="1">
        <f>G15/(1+$B$57)</f>
        <v>25049.217511732855</v>
      </c>
      <c r="I57" s="1">
        <f>H15/(1+$B$57)^2</f>
        <v>23288.236748817257</v>
      </c>
      <c r="J57" s="1">
        <f>I15/(1+$B$57)^3</f>
        <v>21623.427445463851</v>
      </c>
      <c r="K57" s="1">
        <f>J15/(1+$B$57)^4</f>
        <v>19896.771981878992</v>
      </c>
      <c r="L57" s="1">
        <f>K15/(1+$B$57)^5</f>
        <v>17564.518244730873</v>
      </c>
      <c r="M57" s="1">
        <f>L15/(1+$B$57)^6</f>
        <v>16565.81368749437</v>
      </c>
      <c r="N57" s="1">
        <f>M15/(1+$B$57)^7</f>
        <v>16020.325237660019</v>
      </c>
      <c r="O57" s="1">
        <f>N15/(1+$B$57)^8</f>
        <v>14892.540609016078</v>
      </c>
      <c r="P57" s="1">
        <f>O15/(1+$B$57)^9</f>
        <v>13844.148761088951</v>
      </c>
      <c r="Q57" s="1">
        <f>(Q15/(B57-Q12))/(1+B57)^10</f>
        <v>152811.83442855655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23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324.66156103598826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0.6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71.57334507718771</v>
      </c>
    </row>
    <row r="67" spans="1:5" x14ac:dyDescent="0.35">
      <c r="A67" s="25"/>
      <c r="E67" s="61"/>
    </row>
    <row r="68" spans="1:5" x14ac:dyDescent="0.35">
      <c r="A68" s="62" t="s">
        <v>47</v>
      </c>
      <c r="E68" s="63">
        <f>(E66*0.25)*-1</f>
        <v>-17.893336269296928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378.34156984387903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1.2908965779223678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8.64269953615453E-2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4">
        <v>82113</v>
      </c>
      <c r="D11" s="84">
        <v>82572</v>
      </c>
      <c r="E11" s="84">
        <v>93758</v>
      </c>
      <c r="F11" s="84">
        <v>95015</v>
      </c>
      <c r="G11" s="74">
        <f t="shared" ref="G11" si="0">F11*(1+G12)</f>
        <v>99765.75</v>
      </c>
      <c r="H11" s="74">
        <f t="shared" ref="H11" si="1">G11*(1+H12)</f>
        <v>104754.03750000001</v>
      </c>
      <c r="I11" s="74">
        <f t="shared" ref="I11" si="2">H11*(1+I12)</f>
        <v>109991.739375</v>
      </c>
      <c r="J11" s="74">
        <f t="shared" ref="J11" si="3">I11*(1+J12)</f>
        <v>115491.32634375001</v>
      </c>
      <c r="K11" s="74">
        <f t="shared" ref="K11" si="4">J11*(1+K12)</f>
        <v>121265.89266093752</v>
      </c>
      <c r="L11" s="74">
        <f t="shared" ref="L11" si="5">K11*(1+L12)</f>
        <v>127329.1872939844</v>
      </c>
      <c r="M11" s="74">
        <f t="shared" ref="M11:Q11" si="6">L11*(1+M12)</f>
        <v>133695.64665868363</v>
      </c>
      <c r="N11" s="74">
        <f t="shared" si="6"/>
        <v>140380.42899161781</v>
      </c>
      <c r="O11" s="74">
        <f t="shared" si="6"/>
        <v>147399.45044119871</v>
      </c>
      <c r="P11" s="74">
        <f t="shared" si="6"/>
        <v>154769.42296325866</v>
      </c>
      <c r="Q11" s="74">
        <f t="shared" si="6"/>
        <v>157864.81142252384</v>
      </c>
    </row>
    <row r="12" spans="1:28" x14ac:dyDescent="0.35">
      <c r="A12" s="5"/>
      <c r="B12" s="4" t="s">
        <v>1</v>
      </c>
      <c r="C12" s="88"/>
      <c r="D12" s="91">
        <f t="shared" ref="D12:F12" si="7">D11/C11-1</f>
        <v>5.5898578787767494E-3</v>
      </c>
      <c r="E12" s="91">
        <f t="shared" si="7"/>
        <v>0.1354696507290607</v>
      </c>
      <c r="F12" s="91">
        <f t="shared" si="7"/>
        <v>1.3406855948292495E-2</v>
      </c>
      <c r="G12" s="87">
        <v>0.05</v>
      </c>
      <c r="H12" s="87">
        <f>G12</f>
        <v>0.05</v>
      </c>
      <c r="I12" s="87">
        <f t="shared" ref="I12:O12" si="8">H12</f>
        <v>0.05</v>
      </c>
      <c r="J12" s="87">
        <f t="shared" si="8"/>
        <v>0.05</v>
      </c>
      <c r="K12" s="87">
        <f t="shared" si="8"/>
        <v>0.05</v>
      </c>
      <c r="L12" s="87">
        <f t="shared" si="8"/>
        <v>0.05</v>
      </c>
      <c r="M12" s="87">
        <f t="shared" si="8"/>
        <v>0.05</v>
      </c>
      <c r="N12" s="87">
        <f t="shared" si="8"/>
        <v>0.05</v>
      </c>
      <c r="O12" s="87">
        <f t="shared" si="8"/>
        <v>0.05</v>
      </c>
      <c r="P12" s="87">
        <v>0.05</v>
      </c>
      <c r="Q12" s="87">
        <v>0.02</v>
      </c>
    </row>
    <row r="13" spans="1:28" ht="16" customHeight="1" x14ac:dyDescent="0.35">
      <c r="A13" s="5"/>
      <c r="B13" s="4" t="s">
        <v>15</v>
      </c>
      <c r="C13" s="90">
        <v>0.26240000000000002</v>
      </c>
      <c r="D13" s="90">
        <v>0.24790000000000001</v>
      </c>
      <c r="E13" s="90">
        <v>0.2611</v>
      </c>
      <c r="F13" s="90">
        <v>0.26079999999999998</v>
      </c>
      <c r="G13" s="86">
        <v>0.31859999999999999</v>
      </c>
      <c r="H13" s="86">
        <v>0.32190000000000002</v>
      </c>
      <c r="I13" s="86">
        <v>0.32179999999999997</v>
      </c>
      <c r="J13" s="86">
        <v>0.32279999999999998</v>
      </c>
      <c r="K13" s="86">
        <v>0.33</v>
      </c>
      <c r="L13" s="86">
        <v>0.33</v>
      </c>
      <c r="M13" s="86">
        <v>0.34</v>
      </c>
      <c r="N13" s="86">
        <v>0.34</v>
      </c>
      <c r="O13" s="86">
        <v>0.34</v>
      </c>
      <c r="P13" s="86">
        <v>0.35</v>
      </c>
      <c r="Q13" s="86">
        <v>0.35</v>
      </c>
    </row>
    <row r="14" spans="1:28" ht="17.149999999999999" customHeight="1" x14ac:dyDescent="0.35">
      <c r="A14" s="5"/>
      <c r="B14" s="4" t="s">
        <v>16</v>
      </c>
      <c r="C14" s="84">
        <f>C11*C13</f>
        <v>21546.451200000003</v>
      </c>
      <c r="D14" s="84">
        <f t="shared" ref="D14:Q14" si="9">D11*D13</f>
        <v>20469.5988</v>
      </c>
      <c r="E14" s="84">
        <f t="shared" si="9"/>
        <v>24480.213800000001</v>
      </c>
      <c r="F14" s="84">
        <f t="shared" si="9"/>
        <v>24779.911999999997</v>
      </c>
      <c r="G14" s="74">
        <f t="shared" si="9"/>
        <v>31785.36795</v>
      </c>
      <c r="H14" s="74">
        <f t="shared" si="9"/>
        <v>33720.324671250004</v>
      </c>
      <c r="I14" s="74">
        <f t="shared" si="9"/>
        <v>35395.341730874999</v>
      </c>
      <c r="J14" s="74">
        <f t="shared" si="9"/>
        <v>37280.600143762502</v>
      </c>
      <c r="K14" s="74">
        <f t="shared" si="9"/>
        <v>40017.744578109385</v>
      </c>
      <c r="L14" s="74">
        <f t="shared" si="9"/>
        <v>42018.631807014855</v>
      </c>
      <c r="M14" s="74">
        <f t="shared" si="9"/>
        <v>45456.519863952439</v>
      </c>
      <c r="N14" s="74">
        <f t="shared" si="9"/>
        <v>47729.34585715006</v>
      </c>
      <c r="O14" s="74">
        <f>O11*O13</f>
        <v>50115.813150007569</v>
      </c>
      <c r="P14" s="74">
        <f t="shared" si="9"/>
        <v>54169.298037140528</v>
      </c>
      <c r="Q14" s="74">
        <f t="shared" si="9"/>
        <v>55252.683997883338</v>
      </c>
    </row>
    <row r="15" spans="1:28" x14ac:dyDescent="0.35">
      <c r="A15" s="102">
        <v>0.2</v>
      </c>
      <c r="B15" s="4" t="s">
        <v>39</v>
      </c>
      <c r="C15" s="84">
        <v>15117.0033</v>
      </c>
      <c r="D15" s="84">
        <v>14714.330399999999</v>
      </c>
      <c r="E15" s="84">
        <v>20879.906600000002</v>
      </c>
      <c r="F15" s="84">
        <v>17938.831999999999</v>
      </c>
      <c r="G15" s="74">
        <v>27754.533003000004</v>
      </c>
      <c r="H15" s="74">
        <v>28590.129879999997</v>
      </c>
      <c r="I15" s="74">
        <v>29413.304201999999</v>
      </c>
      <c r="J15" s="74">
        <v>29987.596911999997</v>
      </c>
      <c r="K15" s="74">
        <f t="shared" ref="K15:Q15" si="10">K14*(1-$A$15)</f>
        <v>32014.195662487509</v>
      </c>
      <c r="L15" s="74">
        <f t="shared" si="10"/>
        <v>33614.905445611883</v>
      </c>
      <c r="M15" s="74">
        <f t="shared" si="10"/>
        <v>36365.215891161955</v>
      </c>
      <c r="N15" s="74">
        <f t="shared" si="10"/>
        <v>38183.476685720052</v>
      </c>
      <c r="O15" s="74">
        <f>O14*(1-$A$15)</f>
        <v>40092.650520006056</v>
      </c>
      <c r="P15" s="74">
        <f t="shared" si="10"/>
        <v>43335.438429712427</v>
      </c>
      <c r="Q15" s="74">
        <f t="shared" si="10"/>
        <v>44202.147198306673</v>
      </c>
    </row>
    <row r="16" spans="1:28" ht="31.5" hidden="1" thickBot="1" x14ac:dyDescent="0.4">
      <c r="A16" s="13" t="s">
        <v>6</v>
      </c>
      <c r="B16" s="14"/>
      <c r="C16" s="15">
        <f t="shared" ref="C16:J16" si="11">C15/C14</f>
        <v>0.7016006097560975</v>
      </c>
      <c r="D16" s="15">
        <f t="shared" si="11"/>
        <v>0.71883824122630091</v>
      </c>
      <c r="E16" s="15">
        <f t="shared" si="11"/>
        <v>0.8529299119111452</v>
      </c>
      <c r="F16" s="15">
        <f t="shared" si="11"/>
        <v>0.7239263803680982</v>
      </c>
      <c r="G16" s="15">
        <f t="shared" si="11"/>
        <v>0.87318583338910205</v>
      </c>
      <c r="H16" s="15">
        <f t="shared" si="11"/>
        <v>0.84786045682341793</v>
      </c>
      <c r="I16" s="15">
        <f t="shared" si="11"/>
        <v>0.8309936495497392</v>
      </c>
      <c r="J16" s="15">
        <f t="shared" si="11"/>
        <v>0.80437538012695553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10.41875933893915</v>
      </c>
      <c r="H17" s="74">
        <f t="shared" ref="H17:O17" si="12">H15/H18</f>
        <v>10.7593319347018</v>
      </c>
      <c r="I17" s="74">
        <f t="shared" si="12"/>
        <v>11.096859516707596</v>
      </c>
      <c r="J17" s="74">
        <f t="shared" si="12"/>
        <v>11.341879622703093</v>
      </c>
      <c r="K17" s="74">
        <f t="shared" si="12"/>
        <v>12.1387246348296</v>
      </c>
      <c r="L17" s="74">
        <f t="shared" si="12"/>
        <v>12.777604878767999</v>
      </c>
      <c r="M17" s="74">
        <f t="shared" si="12"/>
        <v>13.857689501694166</v>
      </c>
      <c r="N17" s="74">
        <f t="shared" si="12"/>
        <v>14.587041580730698</v>
      </c>
      <c r="O17" s="74">
        <f t="shared" si="12"/>
        <v>15.354780611295471</v>
      </c>
      <c r="P17" s="74">
        <f>P15/P18</f>
        <v>16.638307163942461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2663.9</v>
      </c>
      <c r="H18" s="74">
        <f>G18*0.9975</f>
        <v>2657.2402500000003</v>
      </c>
      <c r="I18" s="74">
        <f t="shared" ref="I18:P18" si="13">H18*0.9975</f>
        <v>2650.5971493750003</v>
      </c>
      <c r="J18" s="74">
        <f t="shared" si="13"/>
        <v>2643.9706565015631</v>
      </c>
      <c r="K18" s="74">
        <f t="shared" si="13"/>
        <v>2637.3607298603092</v>
      </c>
      <c r="L18" s="74">
        <f t="shared" si="13"/>
        <v>2630.7673280356585</v>
      </c>
      <c r="M18" s="74">
        <f t="shared" si="13"/>
        <v>2624.1904097155693</v>
      </c>
      <c r="N18" s="74">
        <f t="shared" si="13"/>
        <v>2617.6299336912807</v>
      </c>
      <c r="O18" s="74">
        <f t="shared" si="13"/>
        <v>2611.0858588570527</v>
      </c>
      <c r="P18" s="74">
        <f t="shared" si="13"/>
        <v>2604.5581442099101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25323.479017335769</v>
      </c>
      <c r="H19" s="53">
        <f>H15/(1+$C$55)^2</f>
        <v>23800.989896904463</v>
      </c>
      <c r="I19" s="53">
        <f>I15/(1+$C$55)^3</f>
        <v>22341.490946412738</v>
      </c>
      <c r="J19" s="53">
        <f>J15/(1+$C$55)^4</f>
        <v>20782.579376432022</v>
      </c>
      <c r="K19" s="53">
        <f>K15/(1+$C$55)^5</f>
        <v>20243.696805933178</v>
      </c>
      <c r="L19" s="53">
        <f>L15/(1+$C$55)^6</f>
        <v>19394.052596925034</v>
      </c>
      <c r="M19" s="53">
        <f>M15/(1+$C$55)^7</f>
        <v>19143.101020521561</v>
      </c>
      <c r="N19" s="53">
        <f>N15/(1+$C$55)^8</f>
        <v>18339.649700317183</v>
      </c>
      <c r="O19" s="53">
        <f>O15/(1+$C$55)^9</f>
        <v>17569.91987712869</v>
      </c>
      <c r="P19" s="53">
        <f>P15/(1+$C$55)^10</f>
        <v>17327.569651258029</v>
      </c>
      <c r="Q19" s="54">
        <f>(Q15/(C55-Q12))/(1+C55)^10</f>
        <v>232554.22426688403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45024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439943.08500000002</v>
      </c>
      <c r="D49" s="47">
        <f>SUM(G19:Q19)</f>
        <v>436820.75315605267</v>
      </c>
      <c r="E49" s="46" t="s">
        <v>46</v>
      </c>
    </row>
    <row r="50" spans="1:17" x14ac:dyDescent="0.35">
      <c r="A50" s="45"/>
      <c r="B50" s="46" t="s">
        <v>11</v>
      </c>
      <c r="C50" s="56">
        <v>2663.9</v>
      </c>
      <c r="D50" s="56">
        <f>C50</f>
        <v>2663.9</v>
      </c>
      <c r="E50" s="46"/>
    </row>
    <row r="51" spans="1:17" x14ac:dyDescent="0.35">
      <c r="A51" s="45"/>
      <c r="B51" s="46" t="s">
        <v>13</v>
      </c>
      <c r="C51" s="89">
        <v>165.15</v>
      </c>
      <c r="D51" s="89">
        <f>D49/(D50)</f>
        <v>163.9779095146412</v>
      </c>
      <c r="E51" s="46" t="s">
        <v>46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7.1478560058979568E-3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357793917.85390747</v>
      </c>
      <c r="E57" s="46"/>
      <c r="F57" s="1" t="s">
        <v>23</v>
      </c>
      <c r="H57" s="1">
        <f>G15/(1+$B$57)</f>
        <v>25049.217511732855</v>
      </c>
      <c r="I57" s="1">
        <f>H15/(1+$B$57)^2</f>
        <v>23288.236748817257</v>
      </c>
      <c r="J57" s="1">
        <f>I15/(1+$B$57)^3</f>
        <v>21623.427445463851</v>
      </c>
      <c r="K57" s="1">
        <f>J15/(1+$B$57)^4</f>
        <v>19896.771981878992</v>
      </c>
      <c r="L57" s="1">
        <f>K15/(1+$B$57)^5</f>
        <v>19170.956994152031</v>
      </c>
      <c r="M57" s="1">
        <f>L15/(1+$B$57)^6</f>
        <v>18167.423144277644</v>
      </c>
      <c r="N57" s="1">
        <f>M15/(1+$B$57)^7</f>
        <v>17738.130572440434</v>
      </c>
      <c r="O57" s="1">
        <f>N15/(1+$B$57)^8</f>
        <v>16809.600271717012</v>
      </c>
      <c r="P57" s="1">
        <f>O15/(1+$B$57)^9</f>
        <v>15929.675347746263</v>
      </c>
      <c r="Q57" s="1">
        <f>(Q15/(B57-Q12))/(1+B57)^10</f>
        <v>180120.47783568114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23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382.68106477067658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0.6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77.382587270587223</v>
      </c>
    </row>
    <row r="67" spans="1:5" x14ac:dyDescent="0.35">
      <c r="A67" s="25"/>
      <c r="E67" s="61"/>
    </row>
    <row r="68" spans="1:5" x14ac:dyDescent="0.35">
      <c r="A68" s="62" t="s">
        <v>47</v>
      </c>
      <c r="E68" s="63">
        <f>(E66*0.25)*-1</f>
        <v>-19.345646817646806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440.71800522361701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1.6685922205486952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0.10313387619268632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2023-04-08T06:32:01Z</dcterms:modified>
</cp:coreProperties>
</file>