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07A901A3-FDCC-48F9-8BE9-6DBCB42E9A69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34" l="1"/>
  <c r="G11" i="35" l="1"/>
  <c r="H12" i="35" l="1"/>
  <c r="H11" i="35" s="1"/>
  <c r="I12" i="35" l="1"/>
  <c r="J12" i="35" s="1"/>
  <c r="K12" i="35" s="1"/>
  <c r="L12" i="35" s="1"/>
  <c r="M12" i="35" s="1"/>
  <c r="N12" i="35" s="1"/>
  <c r="O12" i="35" s="1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I11" i="35" l="1"/>
  <c r="J11" i="35" s="1"/>
  <c r="K11" i="35" s="1"/>
  <c r="L11" i="35" s="1"/>
  <c r="D14" i="34" l="1"/>
  <c r="E14" i="34"/>
  <c r="F14" i="34"/>
  <c r="G14" i="34"/>
  <c r="H14" i="34"/>
  <c r="I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J14" i="34" l="1"/>
  <c r="J16" i="34" l="1"/>
  <c r="K11" i="34"/>
  <c r="J19" i="34" l="1"/>
  <c r="K57" i="34"/>
  <c r="J17" i="34"/>
  <c r="K14" i="34"/>
  <c r="K15" i="34" s="1"/>
  <c r="L11" i="34"/>
  <c r="L14" i="34" l="1"/>
  <c r="L15" i="34" s="1"/>
  <c r="M11" i="34"/>
  <c r="K19" i="34"/>
  <c r="K17" i="34"/>
  <c r="L57" i="34"/>
  <c r="N11" i="34" l="1"/>
  <c r="M14" i="34"/>
  <c r="M15" i="34" s="1"/>
  <c r="M57" i="34"/>
  <c r="L19" i="34"/>
  <c r="L17" i="34"/>
  <c r="M19" i="34" l="1"/>
  <c r="N57" i="34"/>
  <c r="M17" i="34"/>
  <c r="N14" i="34"/>
  <c r="N15" i="34" s="1"/>
  <c r="O11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O19" i="34"/>
  <c r="P57" i="34"/>
  <c r="O17" i="34"/>
  <c r="D43" i="34" l="1"/>
  <c r="D42" i="34"/>
  <c r="D40" i="34"/>
  <c r="D44" i="34"/>
  <c r="D41" i="34"/>
  <c r="P17" i="34"/>
  <c r="P19" i="34"/>
  <c r="Q19" i="34"/>
  <c r="Q57" i="34"/>
  <c r="D57" i="34" s="1"/>
  <c r="D49" i="34" l="1"/>
  <c r="D51" i="34" s="1"/>
  <c r="D52" i="34" s="1"/>
  <c r="E62" i="34"/>
  <c r="E66" i="34"/>
  <c r="E68" i="34" s="1"/>
  <c r="D53" i="34" l="1"/>
  <c r="E70" i="34"/>
  <c r="E74" i="34" s="1"/>
  <c r="E72" i="34" l="1"/>
  <c r="J14" i="32"/>
  <c r="J19" i="32" l="1"/>
  <c r="K57" i="32"/>
  <c r="J16" i="32"/>
  <c r="J17" i="32"/>
  <c r="K11" i="32"/>
  <c r="L11" i="32" l="1"/>
  <c r="K14" i="32"/>
  <c r="K15" i="32" s="1"/>
  <c r="K17" i="32" l="1"/>
  <c r="L57" i="32"/>
  <c r="K19" i="32"/>
  <c r="L14" i="32"/>
  <c r="L15" i="32" s="1"/>
  <c r="M11" i="32"/>
  <c r="M14" i="32" l="1"/>
  <c r="M15" i="32" s="1"/>
  <c r="N11" i="32"/>
  <c r="L19" i="32"/>
  <c r="M57" i="32"/>
  <c r="L17" i="32"/>
  <c r="N14" i="32" l="1"/>
  <c r="N15" i="32" s="1"/>
  <c r="O11" i="32"/>
  <c r="N57" i="32"/>
  <c r="M17" i="32"/>
  <c r="M19" i="32"/>
  <c r="P11" i="32" l="1"/>
  <c r="O14" i="32"/>
  <c r="O15" i="32" s="1"/>
  <c r="O57" i="32"/>
  <c r="N19" i="32"/>
  <c r="N17" i="32"/>
  <c r="O17" i="32" l="1"/>
  <c r="P57" i="32"/>
  <c r="O19" i="32"/>
  <c r="Q11" i="32"/>
  <c r="Q14" i="32" s="1"/>
  <c r="Q15" i="32" s="1"/>
  <c r="P14" i="32"/>
  <c r="P15" i="32" s="1"/>
  <c r="D43" i="32" l="1"/>
  <c r="D44" i="32"/>
  <c r="D42" i="32"/>
  <c r="D40" i="32"/>
  <c r="D41" i="32"/>
  <c r="P19" i="32"/>
  <c r="P17" i="32"/>
  <c r="E62" i="32" s="1"/>
  <c r="Q57" i="32"/>
  <c r="D57" i="32" s="1"/>
  <c r="Q19" i="32"/>
  <c r="D49" i="32" l="1"/>
  <c r="D51" i="32" s="1"/>
  <c r="D52" i="32" s="1"/>
  <c r="E66" i="32"/>
  <c r="E68" i="32" s="1"/>
  <c r="E70" i="32" l="1"/>
  <c r="E74" i="32" s="1"/>
  <c r="D53" i="32"/>
  <c r="E72" i="32" l="1"/>
</calcChain>
</file>

<file path=xl/sharedStrings.xml><?xml version="1.0" encoding="utf-8"?>
<sst xmlns="http://schemas.openxmlformats.org/spreadsheetml/2006/main" count="149" uniqueCount="49">
  <si>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</si>
  <si>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</si>
  <si>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</si>
  <si>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</si>
  <si>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</si>
  <si>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</si>
  <si>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</si>
  <si>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</si>
  <si>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</si>
  <si>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</si>
  <si>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</si>
  <si>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</si>
  <si>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</si>
  <si>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</si>
  <si>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</si>
  <si>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</si>
  <si>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</si>
  <si>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</si>
  <si>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</si>
  <si>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</si>
  <si>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</si>
  <si>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</si>
  <si>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</si>
  <si>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</si>
  <si>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</si>
  <si>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</si>
  <si>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</si>
  <si>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</si>
  <si>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</si>
  <si>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</si>
  <si>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</si>
  <si>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</si>
  <si>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</si>
  <si>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</si>
  <si>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</si>
  <si>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</si>
  <si>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</si>
  <si>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</si>
  <si>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</si>
  <si>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</si>
  <si>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</si>
  <si>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</si>
  <si>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>KGV Multiple in 2032</t>
  </si>
  <si>
    <t>Gesamtwert 2032</t>
  </si>
  <si>
    <t>Steigerung Gesamt bis 2032 in Prozent</t>
  </si>
  <si>
    <t>Renditeerwartung bis 2032 pro Jahr</t>
  </si>
  <si>
    <t xml:space="preserve"> Annahmen für Diploma</t>
  </si>
  <si>
    <t>GBP</t>
  </si>
  <si>
    <t>Quellensteuer GB (25 %)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</si>
</sst>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4" fontId="13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zoomScaleNormal="100" workbookViewId="0">
      <selection activeCell="C60" sqref="C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3">
        <v>544.70000000000005</v>
      </c>
      <c r="D11" s="83">
        <v>538.4</v>
      </c>
      <c r="E11" s="83">
        <v>787.4</v>
      </c>
      <c r="F11" s="83">
        <v>1012.8</v>
      </c>
      <c r="G11" s="73">
        <v>1191.93</v>
      </c>
      <c r="H11" s="73">
        <v>1249.46</v>
      </c>
      <c r="I11" s="73">
        <v>1315.04</v>
      </c>
      <c r="J11" s="73">
        <v>1403</v>
      </c>
      <c r="K11" s="73">
        <f t="shared" ref="K11" si="0">J11*(1+K12)</f>
        <v>1473.15</v>
      </c>
      <c r="L11" s="73">
        <f t="shared" ref="L11:Q11" si="1">K11*(1+L12)</f>
        <v>1546.8075000000001</v>
      </c>
      <c r="M11" s="73">
        <f t="shared" si="1"/>
        <v>1616.4138375</v>
      </c>
      <c r="N11" s="73">
        <f t="shared" si="1"/>
        <v>1681.070391</v>
      </c>
      <c r="O11" s="73">
        <f t="shared" si="1"/>
        <v>1731.5025027300001</v>
      </c>
      <c r="P11" s="73">
        <f t="shared" si="1"/>
        <v>1766.1325527846002</v>
      </c>
      <c r="Q11" s="73">
        <f t="shared" si="1"/>
        <v>1792.624541076369</v>
      </c>
    </row>
    <row r="12" spans="1:28" x14ac:dyDescent="0.25">
      <c r="A12" s="5"/>
      <c r="B12" s="4" t="s">
        <v>1</v>
      </c>
      <c r="C12" s="87"/>
      <c r="D12" s="90">
        <f t="shared" ref="D12:J12" si="2">D11/C11-1</f>
        <v>-1.1565999632825563E-2</v>
      </c>
      <c r="E12" s="90">
        <f t="shared" si="2"/>
        <v>0.46248142644873691</v>
      </c>
      <c r="F12" s="90">
        <f t="shared" si="2"/>
        <v>0.28625857251714493</v>
      </c>
      <c r="G12" s="86">
        <f t="shared" si="2"/>
        <v>0.1768661137440759</v>
      </c>
      <c r="H12" s="86">
        <f t="shared" si="2"/>
        <v>4.8266257246650346E-2</v>
      </c>
      <c r="I12" s="86">
        <f t="shared" si="2"/>
        <v>5.2486674243273024E-2</v>
      </c>
      <c r="J12" s="86">
        <f t="shared" si="2"/>
        <v>6.6887699233483477E-2</v>
      </c>
      <c r="K12" s="86">
        <v>0.05</v>
      </c>
      <c r="L12" s="72">
        <v>0.05</v>
      </c>
      <c r="M12" s="72">
        <v>4.4999999999999998E-2</v>
      </c>
      <c r="N12" s="72">
        <v>0.04</v>
      </c>
      <c r="O12" s="72">
        <v>0.03</v>
      </c>
      <c r="P12" s="72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89">
        <v>0.15720000000000001</v>
      </c>
      <c r="D13" s="89">
        <v>0.13320000000000001</v>
      </c>
      <c r="E13" s="89">
        <v>0.14480000000000001</v>
      </c>
      <c r="F13" s="89">
        <v>0.1469</v>
      </c>
      <c r="G13" s="85">
        <v>0.1847</v>
      </c>
      <c r="H13" s="85">
        <v>0.185</v>
      </c>
      <c r="I13" s="85">
        <v>0.1855</v>
      </c>
      <c r="J13" s="85">
        <v>0.18459999999999999</v>
      </c>
      <c r="K13" s="85">
        <v>0.185</v>
      </c>
      <c r="L13" s="85">
        <v>0.185</v>
      </c>
      <c r="M13" s="85">
        <v>0.185</v>
      </c>
      <c r="N13" s="85">
        <v>0.18</v>
      </c>
      <c r="O13" s="85">
        <v>0.18</v>
      </c>
      <c r="P13" s="85">
        <v>0.18</v>
      </c>
      <c r="Q13" s="85">
        <v>0.18</v>
      </c>
    </row>
    <row r="14" spans="1:28" ht="17.100000000000001" customHeight="1" x14ac:dyDescent="0.25">
      <c r="A14" s="5"/>
      <c r="B14" s="4" t="s">
        <v>16</v>
      </c>
      <c r="C14" s="83">
        <f>C11*C13</f>
        <v>85.626840000000016</v>
      </c>
      <c r="D14" s="83">
        <f t="shared" ref="D14:I14" si="3">D11*D13</f>
        <v>71.714880000000008</v>
      </c>
      <c r="E14" s="83">
        <f t="shared" si="3"/>
        <v>114.01552000000001</v>
      </c>
      <c r="F14" s="83">
        <f t="shared" si="3"/>
        <v>148.78031999999999</v>
      </c>
      <c r="G14" s="73">
        <f t="shared" si="3"/>
        <v>220.14947100000001</v>
      </c>
      <c r="H14" s="73">
        <f t="shared" si="3"/>
        <v>231.15010000000001</v>
      </c>
      <c r="I14" s="73">
        <f t="shared" si="3"/>
        <v>243.93992</v>
      </c>
      <c r="J14" s="73">
        <f>J11*J13</f>
        <v>258.99379999999996</v>
      </c>
      <c r="K14" s="73">
        <f t="shared" ref="K14:Q14" si="4">K11*K13</f>
        <v>272.53275000000002</v>
      </c>
      <c r="L14" s="73">
        <f t="shared" si="4"/>
        <v>286.15938750000004</v>
      </c>
      <c r="M14" s="73">
        <f t="shared" si="4"/>
        <v>299.03655993749999</v>
      </c>
      <c r="N14" s="73">
        <f t="shared" si="4"/>
        <v>302.59267037999996</v>
      </c>
      <c r="O14" s="73">
        <f t="shared" si="4"/>
        <v>311.6704504914</v>
      </c>
      <c r="P14" s="73">
        <f>P11*P13</f>
        <v>317.903859501228</v>
      </c>
      <c r="Q14" s="73">
        <f t="shared" si="4"/>
        <v>322.6724173937464</v>
      </c>
    </row>
    <row r="15" spans="1:28" x14ac:dyDescent="0.25">
      <c r="A15" s="101">
        <v>0.3</v>
      </c>
      <c r="B15" s="4" t="s">
        <v>39</v>
      </c>
      <c r="C15" s="83">
        <v>61.87792000000001</v>
      </c>
      <c r="D15" s="83">
        <v>49.317439999999998</v>
      </c>
      <c r="E15" s="83">
        <v>69.763639999999995</v>
      </c>
      <c r="F15" s="83">
        <v>94.696799999999996</v>
      </c>
      <c r="G15" s="73">
        <v>149.22963600000003</v>
      </c>
      <c r="H15" s="73">
        <v>159.55604200000002</v>
      </c>
      <c r="I15" s="73">
        <v>171.48121599999999</v>
      </c>
      <c r="J15" s="73">
        <v>193.05279999999999</v>
      </c>
      <c r="K15" s="73">
        <f t="shared" ref="K15:Q15" si="5">K14*(1-$A$15)</f>
        <v>190.77292500000001</v>
      </c>
      <c r="L15" s="73">
        <f t="shared" si="5"/>
        <v>200.31157125000001</v>
      </c>
      <c r="M15" s="73">
        <f t="shared" si="5"/>
        <v>209.32559195624998</v>
      </c>
      <c r="N15" s="73">
        <f t="shared" si="5"/>
        <v>211.81486926599996</v>
      </c>
      <c r="O15" s="73">
        <f t="shared" si="5"/>
        <v>218.16931534398</v>
      </c>
      <c r="P15" s="73">
        <f>P14*(1-$A$15)</f>
        <v>222.53270165085959</v>
      </c>
      <c r="Q15" s="73">
        <f t="shared" si="5"/>
        <v>225.87069217562245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0.72264631043256999</v>
      </c>
      <c r="D16" s="15">
        <f t="shared" si="6"/>
        <v>0.68768768768768762</v>
      </c>
      <c r="E16" s="15">
        <f t="shared" si="6"/>
        <v>0.61187845303867394</v>
      </c>
      <c r="F16" s="15">
        <f t="shared" si="6"/>
        <v>0.63648740639891088</v>
      </c>
      <c r="G16" s="15">
        <f t="shared" si="6"/>
        <v>0.67785598267460756</v>
      </c>
      <c r="H16" s="15">
        <f t="shared" si="6"/>
        <v>0.69027027027027033</v>
      </c>
      <c r="I16" s="15">
        <f t="shared" si="6"/>
        <v>0.70296495956873306</v>
      </c>
      <c r="J16" s="15">
        <f t="shared" si="6"/>
        <v>0.74539544962080184</v>
      </c>
    </row>
    <row r="17" spans="1:18" x14ac:dyDescent="0.25">
      <c r="A17" s="2" t="s">
        <v>36</v>
      </c>
      <c r="C17" s="83"/>
      <c r="D17" s="83"/>
      <c r="E17" s="83"/>
      <c r="F17" s="83"/>
      <c r="G17" s="73">
        <f>G15/G18</f>
        <v>1.1947929223378704</v>
      </c>
      <c r="H17" s="73">
        <f t="shared" ref="H17:P17" si="7">H15/H18</f>
        <v>1.2774703122497999</v>
      </c>
      <c r="I17" s="73">
        <f t="shared" si="7"/>
        <v>1.3729480864691752</v>
      </c>
      <c r="J17" s="73">
        <f t="shared" si="7"/>
        <v>1.5456589271417132</v>
      </c>
      <c r="K17" s="73">
        <f t="shared" si="7"/>
        <v>1.5274053242594077</v>
      </c>
      <c r="L17" s="73">
        <f t="shared" si="7"/>
        <v>1.6037755904723781</v>
      </c>
      <c r="M17" s="73">
        <f t="shared" si="7"/>
        <v>1.6759454920436347</v>
      </c>
      <c r="N17" s="73">
        <f t="shared" si="7"/>
        <v>1.6958756546517211</v>
      </c>
      <c r="O17" s="73">
        <f t="shared" si="7"/>
        <v>1.746751924291273</v>
      </c>
      <c r="P17" s="73">
        <f t="shared" si="7"/>
        <v>1.7816869627770984</v>
      </c>
      <c r="Q17" s="73"/>
    </row>
    <row r="18" spans="1:18" ht="32.25" thickBot="1" x14ac:dyDescent="0.3">
      <c r="A18" s="2" t="s">
        <v>38</v>
      </c>
      <c r="C18" s="83"/>
      <c r="D18" s="83"/>
      <c r="E18" s="83"/>
      <c r="F18" s="83"/>
      <c r="G18" s="73">
        <f>C50</f>
        <v>124.9</v>
      </c>
      <c r="H18" s="73">
        <f>G18*1</f>
        <v>124.9</v>
      </c>
      <c r="I18" s="73">
        <f t="shared" ref="I18:P18" si="8">H18*1</f>
        <v>124.9</v>
      </c>
      <c r="J18" s="73">
        <f t="shared" si="8"/>
        <v>124.9</v>
      </c>
      <c r="K18" s="73">
        <f t="shared" si="8"/>
        <v>124.9</v>
      </c>
      <c r="L18" s="73">
        <f t="shared" si="8"/>
        <v>124.9</v>
      </c>
      <c r="M18" s="73">
        <f t="shared" si="8"/>
        <v>124.9</v>
      </c>
      <c r="N18" s="73">
        <f t="shared" si="8"/>
        <v>124.9</v>
      </c>
      <c r="O18" s="73">
        <f t="shared" si="8"/>
        <v>124.9</v>
      </c>
      <c r="P18" s="73">
        <f t="shared" si="8"/>
        <v>124.9</v>
      </c>
      <c r="Q18" s="73"/>
    </row>
    <row r="19" spans="1:18" ht="16.5" thickBot="1" x14ac:dyDescent="0.3">
      <c r="A19" s="2"/>
      <c r="E19" s="51" t="s">
        <v>12</v>
      </c>
      <c r="F19" s="52"/>
      <c r="G19" s="53">
        <f>G15/(1+$C$55)</f>
        <v>135.75586627245852</v>
      </c>
      <c r="H19" s="53">
        <f>H15/(1+$C$55)^2</f>
        <v>132.04449681381266</v>
      </c>
      <c r="I19" s="53">
        <f>I15/(1+$C$55)^3</f>
        <v>129.10026437404713</v>
      </c>
      <c r="J19" s="53">
        <f>J15/(1+$C$55)^4</f>
        <v>132.21788560742274</v>
      </c>
      <c r="K19" s="53">
        <f>K15/(1+$C$55)^5</f>
        <v>118.8596280991619</v>
      </c>
      <c r="L19" s="53">
        <f>L15/(1+$C$55)^6</f>
        <v>113.53432749976798</v>
      </c>
      <c r="M19" s="53">
        <f>M15/(1+$C$55)^7</f>
        <v>107.9312005797203</v>
      </c>
      <c r="N19" s="53">
        <f>N15/(1+$C$55)^8</f>
        <v>99.353838297727009</v>
      </c>
      <c r="O19" s="53">
        <f>O15/(1+$C$55)^9</f>
        <v>93.094795039034636</v>
      </c>
      <c r="P19" s="53">
        <f>P15/(1+$C$55)^10</f>
        <v>86.383162101264787</v>
      </c>
      <c r="Q19" s="54">
        <f>(Q15/(C55-Q12))/(1+C55)^10</f>
        <v>1040.6992229410534</v>
      </c>
    </row>
    <row r="20" spans="1:18" x14ac:dyDescent="0.25">
      <c r="A20" s="2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"/>
      <c r="P20" s="3"/>
      <c r="Q20" s="3"/>
      <c r="R20" s="3"/>
    </row>
    <row r="21" spans="1:18" x14ac:dyDescent="0.25">
      <c r="A21" s="2"/>
      <c r="J21" s="102"/>
      <c r="K21" s="102"/>
      <c r="L21" s="102"/>
      <c r="M21" s="102"/>
      <c r="N21" s="102"/>
      <c r="O21" s="102"/>
      <c r="P21" s="102"/>
      <c r="Q21" s="102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1" t="s">
        <v>25</v>
      </c>
      <c r="H23" s="92"/>
      <c r="I23" s="93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4"/>
      <c r="H24" s="6"/>
      <c r="I24" s="95"/>
      <c r="J24" s="26"/>
    </row>
    <row r="25" spans="1:18" x14ac:dyDescent="0.25">
      <c r="A25" s="35"/>
      <c r="B25" s="36"/>
      <c r="C25" s="36"/>
      <c r="D25" s="38"/>
      <c r="F25" s="36"/>
      <c r="G25" s="94" t="s">
        <v>27</v>
      </c>
      <c r="H25" s="6"/>
      <c r="I25" s="96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94"/>
      <c r="H26" s="6"/>
      <c r="I26" s="95"/>
      <c r="J26" s="26"/>
    </row>
    <row r="27" spans="1:18" x14ac:dyDescent="0.25">
      <c r="A27" s="35"/>
      <c r="B27" s="36"/>
      <c r="C27" s="36"/>
      <c r="D27" s="38"/>
      <c r="F27" s="36"/>
      <c r="G27" s="94" t="s">
        <v>28</v>
      </c>
      <c r="H27" s="6"/>
      <c r="I27" s="97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4"/>
      <c r="H28" s="6"/>
      <c r="I28" s="95"/>
      <c r="J28" s="26"/>
    </row>
    <row r="29" spans="1:18" x14ac:dyDescent="0.25">
      <c r="A29" s="35"/>
      <c r="B29" s="36"/>
      <c r="C29" s="36"/>
      <c r="D29" s="39"/>
      <c r="F29" s="36"/>
      <c r="G29" s="94" t="s">
        <v>35</v>
      </c>
      <c r="H29" s="6"/>
      <c r="I29" s="80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4"/>
      <c r="H30" s="6"/>
      <c r="I30" s="95"/>
      <c r="J30" s="26"/>
    </row>
    <row r="31" spans="1:18" x14ac:dyDescent="0.25">
      <c r="A31" s="35"/>
      <c r="B31" s="36"/>
      <c r="C31" s="36"/>
      <c r="D31" s="37"/>
      <c r="F31" s="36"/>
      <c r="G31" s="94" t="s">
        <v>31</v>
      </c>
      <c r="H31" s="6"/>
      <c r="I31" s="97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94"/>
      <c r="H32" s="6"/>
      <c r="I32" s="6"/>
      <c r="J32" s="26"/>
    </row>
    <row r="33" spans="1:10" x14ac:dyDescent="0.25">
      <c r="A33" s="25"/>
      <c r="G33" s="98" t="s">
        <v>34</v>
      </c>
      <c r="H33" s="99"/>
      <c r="I33" s="100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94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4">
        <v>45073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3687.0480000000002</v>
      </c>
      <c r="D49" s="47">
        <f>SUM(G19:Q19)</f>
        <v>2188.9746876254712</v>
      </c>
      <c r="E49" s="46" t="s">
        <v>47</v>
      </c>
    </row>
    <row r="50" spans="1:17" x14ac:dyDescent="0.25">
      <c r="A50" s="45"/>
      <c r="B50" s="46" t="s">
        <v>11</v>
      </c>
      <c r="C50" s="56">
        <v>124.9</v>
      </c>
      <c r="D50" s="56">
        <f>C50</f>
        <v>124.9</v>
      </c>
      <c r="E50" s="46"/>
    </row>
    <row r="51" spans="1:17" x14ac:dyDescent="0.25">
      <c r="A51" s="45"/>
      <c r="B51" s="46" t="s">
        <v>13</v>
      </c>
      <c r="C51" s="88">
        <v>29.52</v>
      </c>
      <c r="D51" s="56">
        <f>D49/(D50)</f>
        <v>17.525818155528192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0.68437214959282611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1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4">
        <v>0.108</v>
      </c>
      <c r="C57" s="50"/>
      <c r="D57" s="75">
        <f>SUM(H57:Q57)*1000</f>
        <v>1894264.6725211337</v>
      </c>
      <c r="E57" s="46"/>
      <c r="F57" s="1" t="s">
        <v>23</v>
      </c>
      <c r="H57" s="1">
        <f>G15/(1+$B$57)</f>
        <v>134.68378700361012</v>
      </c>
      <c r="I57" s="1">
        <f>H15/(1+$B$57)^2</f>
        <v>129.96719134877293</v>
      </c>
      <c r="J57" s="1">
        <f>I15/(1+$B$57)^3</f>
        <v>126.06579685745687</v>
      </c>
      <c r="K57" s="1">
        <f>J15/(1+$B$57)^4</f>
        <v>128.09054201092727</v>
      </c>
      <c r="L57" s="1">
        <f>K15/(1+$B$57)^5</f>
        <v>114.23993216574907</v>
      </c>
      <c r="M57" s="1">
        <f>L15/(1+$B$57)^6</f>
        <v>108.25986351447338</v>
      </c>
      <c r="N57" s="1">
        <f>M15/(1+$B$57)^7</f>
        <v>102.10429365760349</v>
      </c>
      <c r="O57" s="1">
        <f>N15/(1+$B$57)^8</f>
        <v>93.247749891225311</v>
      </c>
      <c r="P57" s="1">
        <f>O15/(1+$B$57)^9</f>
        <v>86.683377606463964</v>
      </c>
      <c r="Q57" s="1">
        <f>(Q15/(B57-Q12))/(1+B57)^10</f>
        <v>870.92213846485117</v>
      </c>
    </row>
    <row r="58" spans="1:17" ht="16.5" thickBot="1" x14ac:dyDescent="0.3">
      <c r="A58" s="22"/>
      <c r="C58" s="66"/>
      <c r="D58" s="67"/>
    </row>
    <row r="59" spans="1:17" x14ac:dyDescent="0.25">
      <c r="A59" s="59" t="s">
        <v>42</v>
      </c>
      <c r="B59" s="23"/>
      <c r="C59" s="68">
        <v>17</v>
      </c>
      <c r="D59" s="23"/>
      <c r="E59" s="24"/>
    </row>
    <row r="60" spans="1:17" x14ac:dyDescent="0.25">
      <c r="A60" s="25" t="s">
        <v>21</v>
      </c>
      <c r="C60" s="69"/>
      <c r="E60" s="26"/>
    </row>
    <row r="61" spans="1:17" x14ac:dyDescent="0.25">
      <c r="A61" s="25"/>
      <c r="C61" s="69"/>
      <c r="E61" s="26"/>
    </row>
    <row r="62" spans="1:17" x14ac:dyDescent="0.25">
      <c r="A62" s="25" t="s">
        <v>37</v>
      </c>
      <c r="C62" s="69"/>
      <c r="E62" s="60">
        <f>P17*C59</f>
        <v>30.288678367210672</v>
      </c>
    </row>
    <row r="63" spans="1:17" x14ac:dyDescent="0.25">
      <c r="A63" s="25"/>
      <c r="C63" s="69"/>
      <c r="E63" s="26"/>
    </row>
    <row r="64" spans="1:17" x14ac:dyDescent="0.25">
      <c r="A64" s="25" t="s">
        <v>17</v>
      </c>
      <c r="C64" s="70">
        <v>0.5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7.7111555983470348</v>
      </c>
    </row>
    <row r="67" spans="1:5" x14ac:dyDescent="0.25">
      <c r="A67" s="25"/>
      <c r="E67" s="61"/>
    </row>
    <row r="68" spans="1:5" x14ac:dyDescent="0.25">
      <c r="A68" s="104" t="s">
        <v>48</v>
      </c>
      <c r="E68" s="105">
        <f>(E66*0.25)*-1</f>
        <v>-1.9277888995867587</v>
      </c>
    </row>
    <row r="69" spans="1:5" x14ac:dyDescent="0.25">
      <c r="A69" s="25"/>
      <c r="C69" s="41"/>
      <c r="D69" s="41"/>
      <c r="E69" s="63"/>
    </row>
    <row r="70" spans="1:5" x14ac:dyDescent="0.25">
      <c r="A70" s="25" t="s">
        <v>43</v>
      </c>
      <c r="E70" s="60">
        <f>SUM(E62:E68)</f>
        <v>36.072045065970947</v>
      </c>
    </row>
    <row r="71" spans="1:5" x14ac:dyDescent="0.25">
      <c r="A71" s="25"/>
      <c r="E71" s="60"/>
    </row>
    <row r="72" spans="1:5" x14ac:dyDescent="0.25">
      <c r="A72" s="25" t="s">
        <v>44</v>
      </c>
      <c r="E72" s="63">
        <f>E70/C51-1</f>
        <v>0.22195274613722726</v>
      </c>
    </row>
    <row r="73" spans="1:5" x14ac:dyDescent="0.25">
      <c r="A73" s="25"/>
      <c r="E73" s="26"/>
    </row>
    <row r="74" spans="1:5" ht="16.5" thickBot="1" x14ac:dyDescent="0.3">
      <c r="A74" s="64" t="s">
        <v>45</v>
      </c>
      <c r="B74" s="65"/>
      <c r="C74" s="65"/>
      <c r="D74" s="65"/>
      <c r="E74" s="103">
        <f>(E70/C51)^(1/10)-1</f>
        <v>2.0247269578140159E-2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45" zoomScaleNormal="100" workbookViewId="0">
      <selection activeCell="C51" sqref="C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3">
        <v>544.70000000000005</v>
      </c>
      <c r="D11" s="83">
        <v>538.4</v>
      </c>
      <c r="E11" s="83">
        <v>787.4</v>
      </c>
      <c r="F11" s="83">
        <v>1012.8</v>
      </c>
      <c r="G11" s="73">
        <v>1191.93</v>
      </c>
      <c r="H11" s="73">
        <v>1249.46</v>
      </c>
      <c r="I11" s="73">
        <v>1315.04</v>
      </c>
      <c r="J11" s="73">
        <v>1403</v>
      </c>
      <c r="K11" s="73">
        <f t="shared" ref="K11" si="0">J11*(1+K12)</f>
        <v>1515.24</v>
      </c>
      <c r="L11" s="73">
        <f t="shared" ref="L11:Q11" si="1">K11*(1+L12)</f>
        <v>1621.3068000000001</v>
      </c>
      <c r="M11" s="73">
        <f t="shared" si="1"/>
        <v>1726.691742</v>
      </c>
      <c r="N11" s="73">
        <f t="shared" si="1"/>
        <v>1830.2932465200001</v>
      </c>
      <c r="O11" s="73">
        <f t="shared" si="1"/>
        <v>1921.8079088460001</v>
      </c>
      <c r="P11" s="73">
        <f t="shared" si="1"/>
        <v>1998.6802251998402</v>
      </c>
      <c r="Q11" s="73">
        <f t="shared" si="1"/>
        <v>2038.6538297038369</v>
      </c>
    </row>
    <row r="12" spans="1:28" x14ac:dyDescent="0.25">
      <c r="A12" s="5"/>
      <c r="B12" s="4" t="s">
        <v>1</v>
      </c>
      <c r="C12" s="90"/>
      <c r="D12" s="90">
        <f t="shared" ref="D12:I12" si="2">D11/C11-1</f>
        <v>-1.1565999632825563E-2</v>
      </c>
      <c r="E12" s="90">
        <f t="shared" si="2"/>
        <v>0.46248142644873691</v>
      </c>
      <c r="F12" s="90">
        <f t="shared" si="2"/>
        <v>0.28625857251714493</v>
      </c>
      <c r="G12" s="86">
        <f t="shared" si="2"/>
        <v>0.1768661137440759</v>
      </c>
      <c r="H12" s="86">
        <f t="shared" si="2"/>
        <v>4.8266257246650346E-2</v>
      </c>
      <c r="I12" s="86">
        <f t="shared" si="2"/>
        <v>5.2486674243273024E-2</v>
      </c>
      <c r="J12" s="86">
        <v>0.08</v>
      </c>
      <c r="K12" s="86">
        <v>0.08</v>
      </c>
      <c r="L12" s="72">
        <v>7.0000000000000007E-2</v>
      </c>
      <c r="M12" s="72">
        <v>6.5000000000000002E-2</v>
      </c>
      <c r="N12" s="72">
        <v>0.06</v>
      </c>
      <c r="O12" s="72">
        <v>0.05</v>
      </c>
      <c r="P12" s="72">
        <v>0.04</v>
      </c>
      <c r="Q12" s="12">
        <v>0.02</v>
      </c>
    </row>
    <row r="13" spans="1:28" ht="15.95" customHeight="1" x14ac:dyDescent="0.25">
      <c r="A13" s="5"/>
      <c r="B13" s="4" t="s">
        <v>15</v>
      </c>
      <c r="C13" s="89">
        <v>0.15720000000000001</v>
      </c>
      <c r="D13" s="89">
        <v>0.13320000000000001</v>
      </c>
      <c r="E13" s="89">
        <v>0.14480000000000001</v>
      </c>
      <c r="F13" s="89">
        <v>0.1469</v>
      </c>
      <c r="G13" s="85">
        <v>0.1847</v>
      </c>
      <c r="H13" s="85">
        <v>0.185</v>
      </c>
      <c r="I13" s="85">
        <v>0.1855</v>
      </c>
      <c r="J13" s="85">
        <v>0.18459999999999999</v>
      </c>
      <c r="K13" s="85">
        <v>0.19</v>
      </c>
      <c r="L13" s="85">
        <v>0.2</v>
      </c>
      <c r="M13" s="85">
        <v>0.20499999999999999</v>
      </c>
      <c r="N13" s="85">
        <v>0.21</v>
      </c>
      <c r="O13" s="85">
        <v>0.215</v>
      </c>
      <c r="P13" s="85">
        <v>0.22</v>
      </c>
      <c r="Q13" s="85">
        <v>0.22</v>
      </c>
    </row>
    <row r="14" spans="1:28" ht="17.100000000000001" customHeight="1" x14ac:dyDescent="0.25">
      <c r="A14" s="5"/>
      <c r="B14" s="4" t="s">
        <v>16</v>
      </c>
      <c r="C14" s="83">
        <f>C11*C13</f>
        <v>85.626840000000016</v>
      </c>
      <c r="D14" s="83">
        <f t="shared" ref="D14:J14" si="3">D11*D13</f>
        <v>71.714880000000008</v>
      </c>
      <c r="E14" s="83">
        <f t="shared" si="3"/>
        <v>114.01552000000001</v>
      </c>
      <c r="F14" s="83">
        <f t="shared" si="3"/>
        <v>148.78031999999999</v>
      </c>
      <c r="G14" s="73">
        <f t="shared" si="3"/>
        <v>220.14947100000001</v>
      </c>
      <c r="H14" s="73">
        <f t="shared" si="3"/>
        <v>231.15010000000001</v>
      </c>
      <c r="I14" s="73">
        <f t="shared" si="3"/>
        <v>243.93992</v>
      </c>
      <c r="J14" s="73">
        <f t="shared" si="3"/>
        <v>258.99379999999996</v>
      </c>
      <c r="K14" s="73">
        <f t="shared" ref="K14:Q14" si="4">K11*K13</f>
        <v>287.8956</v>
      </c>
      <c r="L14" s="73">
        <f t="shared" si="4"/>
        <v>324.26136000000002</v>
      </c>
      <c r="M14" s="73">
        <f t="shared" si="4"/>
        <v>353.97180710999999</v>
      </c>
      <c r="N14" s="73">
        <f t="shared" si="4"/>
        <v>384.36158176920003</v>
      </c>
      <c r="O14" s="73">
        <f>O11*O13</f>
        <v>413.18870040189</v>
      </c>
      <c r="P14" s="73">
        <f t="shared" si="4"/>
        <v>439.70964954396482</v>
      </c>
      <c r="Q14" s="73">
        <f t="shared" si="4"/>
        <v>448.50384253484413</v>
      </c>
    </row>
    <row r="15" spans="1:28" x14ac:dyDescent="0.25">
      <c r="A15" s="101">
        <v>0.25</v>
      </c>
      <c r="B15" s="4" t="s">
        <v>39</v>
      </c>
      <c r="C15" s="83">
        <v>61.87792000000001</v>
      </c>
      <c r="D15" s="83">
        <v>49.317439999999998</v>
      </c>
      <c r="E15" s="83">
        <v>69.763639999999995</v>
      </c>
      <c r="F15" s="83">
        <v>94.696799999999996</v>
      </c>
      <c r="G15" s="73">
        <v>149.22963600000003</v>
      </c>
      <c r="H15" s="73">
        <v>159.55604200000002</v>
      </c>
      <c r="I15" s="73">
        <v>171.48121599999999</v>
      </c>
      <c r="J15" s="73">
        <v>193.05279999999999</v>
      </c>
      <c r="K15" s="73">
        <f t="shared" ref="K15:Q15" si="5">K14*(1-$A$15)</f>
        <v>215.92169999999999</v>
      </c>
      <c r="L15" s="73">
        <f t="shared" si="5"/>
        <v>243.19602000000003</v>
      </c>
      <c r="M15" s="73">
        <f t="shared" si="5"/>
        <v>265.47885533249996</v>
      </c>
      <c r="N15" s="73">
        <f t="shared" si="5"/>
        <v>288.27118632690002</v>
      </c>
      <c r="O15" s="73">
        <f>O14*(1-$A$15)</f>
        <v>309.89152530141752</v>
      </c>
      <c r="P15" s="73">
        <f t="shared" si="5"/>
        <v>329.78223715797361</v>
      </c>
      <c r="Q15" s="73">
        <f t="shared" si="5"/>
        <v>336.37788190113309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0.72264631043256999</v>
      </c>
      <c r="D16" s="15">
        <f t="shared" si="6"/>
        <v>0.68768768768768762</v>
      </c>
      <c r="E16" s="15">
        <f t="shared" si="6"/>
        <v>0.61187845303867394</v>
      </c>
      <c r="F16" s="15">
        <f t="shared" si="6"/>
        <v>0.63648740639891088</v>
      </c>
      <c r="G16" s="15">
        <f t="shared" si="6"/>
        <v>0.67785598267460756</v>
      </c>
      <c r="H16" s="15">
        <f t="shared" si="6"/>
        <v>0.69027027027027033</v>
      </c>
      <c r="I16" s="15">
        <f t="shared" si="6"/>
        <v>0.70296495956873306</v>
      </c>
      <c r="J16" s="15">
        <f t="shared" si="6"/>
        <v>0.74539544962080184</v>
      </c>
    </row>
    <row r="17" spans="1:18" x14ac:dyDescent="0.25">
      <c r="A17" s="2" t="s">
        <v>36</v>
      </c>
      <c r="C17" s="83"/>
      <c r="D17" s="83"/>
      <c r="E17" s="83"/>
      <c r="F17" s="83"/>
      <c r="G17" s="73">
        <f>G15/G18</f>
        <v>1.1947929223378704</v>
      </c>
      <c r="H17" s="73">
        <f>H15/H18</f>
        <v>1.2774703122497999</v>
      </c>
      <c r="I17" s="73">
        <f t="shared" ref="I17:O17" si="7">I15/I18</f>
        <v>1.3729480864691752</v>
      </c>
      <c r="J17" s="73">
        <f>J15/J18</f>
        <v>1.5456589271417132</v>
      </c>
      <c r="K17" s="73">
        <f t="shared" si="7"/>
        <v>1.7287566052842271</v>
      </c>
      <c r="L17" s="73">
        <f t="shared" si="7"/>
        <v>1.9471258606885511</v>
      </c>
      <c r="M17" s="73">
        <f t="shared" si="7"/>
        <v>2.1255312676741389</v>
      </c>
      <c r="N17" s="73">
        <f t="shared" si="7"/>
        <v>2.3080159033378704</v>
      </c>
      <c r="O17" s="73">
        <f t="shared" si="7"/>
        <v>2.4811170960882105</v>
      </c>
      <c r="P17" s="73">
        <f>P15/P18</f>
        <v>2.6403701934185237</v>
      </c>
      <c r="Q17" s="73"/>
    </row>
    <row r="18" spans="1:18" ht="32.25" thickBot="1" x14ac:dyDescent="0.3">
      <c r="A18" s="2" t="s">
        <v>38</v>
      </c>
      <c r="C18" s="83"/>
      <c r="D18" s="83"/>
      <c r="E18" s="83"/>
      <c r="F18" s="83"/>
      <c r="G18" s="73">
        <f>C50</f>
        <v>124.9</v>
      </c>
      <c r="H18" s="73">
        <f>G18*1</f>
        <v>124.9</v>
      </c>
      <c r="I18" s="73">
        <f t="shared" ref="I18:P18" si="8">H18*1</f>
        <v>124.9</v>
      </c>
      <c r="J18" s="73">
        <f t="shared" si="8"/>
        <v>124.9</v>
      </c>
      <c r="K18" s="73">
        <f t="shared" si="8"/>
        <v>124.9</v>
      </c>
      <c r="L18" s="73">
        <f t="shared" si="8"/>
        <v>124.9</v>
      </c>
      <c r="M18" s="73">
        <f t="shared" si="8"/>
        <v>124.9</v>
      </c>
      <c r="N18" s="73">
        <f t="shared" si="8"/>
        <v>124.9</v>
      </c>
      <c r="O18" s="73">
        <f t="shared" si="8"/>
        <v>124.9</v>
      </c>
      <c r="P18" s="73">
        <f t="shared" si="8"/>
        <v>124.9</v>
      </c>
      <c r="Q18" s="73"/>
    </row>
    <row r="19" spans="1:18" ht="16.5" thickBot="1" x14ac:dyDescent="0.3">
      <c r="A19" s="2"/>
      <c r="E19" s="51" t="s">
        <v>12</v>
      </c>
      <c r="F19" s="52"/>
      <c r="G19" s="53">
        <f>G15/(1+$C$55)</f>
        <v>135.75586627245852</v>
      </c>
      <c r="H19" s="53">
        <f>H15/(1+$C$55)^2</f>
        <v>132.04449681381266</v>
      </c>
      <c r="I19" s="53">
        <f>I15/(1+$C$55)^3</f>
        <v>129.10026437404713</v>
      </c>
      <c r="J19" s="53">
        <f>J15/(1+$C$55)^4</f>
        <v>132.21788560742274</v>
      </c>
      <c r="K19" s="53">
        <f>K15/(1+$C$55)^5</f>
        <v>134.52838216187544</v>
      </c>
      <c r="L19" s="53">
        <f>L15/(1+$C$55)^6</f>
        <v>137.84074683763495</v>
      </c>
      <c r="M19" s="53">
        <f>M15/(1+$C$55)^7</f>
        <v>136.88460792961857</v>
      </c>
      <c r="N19" s="53">
        <f>N15/(1+$C$55)^8</f>
        <v>135.21642239501702</v>
      </c>
      <c r="O19" s="53">
        <f>O15/(1+$C$55)^9</f>
        <v>132.23348107768319</v>
      </c>
      <c r="P19" s="53">
        <f>P15/(1+$C$55)^10</f>
        <v>128.01548823700691</v>
      </c>
      <c r="Q19" s="54">
        <f>(Q15/(C55-Q12))/(1+C55)^10</f>
        <v>1647.6441388233065</v>
      </c>
    </row>
    <row r="20" spans="1:18" x14ac:dyDescent="0.25">
      <c r="A20" s="2"/>
      <c r="C20" s="76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2"/>
      <c r="K21" s="102"/>
      <c r="L21" s="102"/>
      <c r="M21" s="102"/>
      <c r="N21" s="102"/>
      <c r="O21" s="102"/>
      <c r="P21" s="102"/>
      <c r="Q21" s="102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9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0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1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0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2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0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0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0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2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7" t="s">
        <v>34</v>
      </c>
      <c r="H33" s="22"/>
      <c r="I33" s="78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4">
        <v>45073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3687.0480000000002</v>
      </c>
      <c r="D49" s="47">
        <f>SUM(G19:Q19)</f>
        <v>2981.4817805298835</v>
      </c>
      <c r="E49" s="46" t="s">
        <v>47</v>
      </c>
    </row>
    <row r="50" spans="1:17" x14ac:dyDescent="0.25">
      <c r="A50" s="45"/>
      <c r="B50" s="46" t="s">
        <v>11</v>
      </c>
      <c r="C50" s="56">
        <v>124.9</v>
      </c>
      <c r="D50" s="56">
        <f>C50</f>
        <v>124.9</v>
      </c>
      <c r="E50" s="46"/>
    </row>
    <row r="51" spans="1:17" x14ac:dyDescent="0.25">
      <c r="A51" s="45"/>
      <c r="B51" s="46" t="s">
        <v>13</v>
      </c>
      <c r="C51" s="88">
        <v>29.52</v>
      </c>
      <c r="D51" s="56">
        <f>D49/(D50)</f>
        <v>23.8709510050431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0.23664951571319692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1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4">
        <v>0.108</v>
      </c>
      <c r="C57" s="50"/>
      <c r="D57" s="75">
        <f>SUM(H57:Q57)*1000</f>
        <v>2529786.5263244146</v>
      </c>
      <c r="E57" s="46"/>
      <c r="F57" s="1" t="s">
        <v>23</v>
      </c>
      <c r="H57" s="1">
        <f>G15/(1+$B$57)</f>
        <v>134.68378700361012</v>
      </c>
      <c r="I57" s="1">
        <f>H15/(1+$B$57)^2</f>
        <v>129.96719134877293</v>
      </c>
      <c r="J57" s="1">
        <f>I15/(1+$B$57)^3</f>
        <v>126.06579685745687</v>
      </c>
      <c r="K57" s="1">
        <f>J15/(1+$B$57)^4</f>
        <v>128.09054201092727</v>
      </c>
      <c r="L57" s="1">
        <f>K15/(1+$B$57)^5</f>
        <v>129.29969156321957</v>
      </c>
      <c r="M57" s="1">
        <f>L15/(1+$B$57)^6</f>
        <v>131.43707958640027</v>
      </c>
      <c r="N57" s="1">
        <f>M15/(1+$B$57)^7</f>
        <v>129.49458664576187</v>
      </c>
      <c r="O57" s="1">
        <f>N15/(1+$B$57)^8</f>
        <v>126.90629121839655</v>
      </c>
      <c r="P57" s="1">
        <f>O15/(1+$B$57)^9</f>
        <v>123.12659120918435</v>
      </c>
      <c r="Q57" s="1">
        <f>(Q15/(B57-Q12))/(1+B57)^10</f>
        <v>1370.7149688806853</v>
      </c>
    </row>
    <row r="58" spans="1:17" ht="16.5" thickBot="1" x14ac:dyDescent="0.3">
      <c r="A58" s="22"/>
      <c r="C58" s="66"/>
      <c r="D58" s="67"/>
    </row>
    <row r="59" spans="1:17" x14ac:dyDescent="0.25">
      <c r="A59" s="59" t="s">
        <v>42</v>
      </c>
      <c r="B59" s="23"/>
      <c r="C59" s="68">
        <v>30</v>
      </c>
      <c r="D59" s="23"/>
      <c r="E59" s="24"/>
    </row>
    <row r="60" spans="1:17" x14ac:dyDescent="0.25">
      <c r="A60" s="25" t="s">
        <v>21</v>
      </c>
      <c r="C60" s="69" t="s">
        <v>40</v>
      </c>
      <c r="E60" s="26"/>
    </row>
    <row r="61" spans="1:17" x14ac:dyDescent="0.25">
      <c r="A61" s="25"/>
      <c r="C61" s="69"/>
      <c r="E61" s="26"/>
    </row>
    <row r="62" spans="1:17" x14ac:dyDescent="0.25">
      <c r="A62" s="25" t="s">
        <v>37</v>
      </c>
      <c r="C62" s="69"/>
      <c r="E62" s="60">
        <f>P17*C59</f>
        <v>79.211105802555707</v>
      </c>
    </row>
    <row r="63" spans="1:17" x14ac:dyDescent="0.25">
      <c r="A63" s="25"/>
      <c r="C63" s="69"/>
      <c r="E63" s="26"/>
    </row>
    <row r="64" spans="1:17" x14ac:dyDescent="0.25">
      <c r="A64" s="25" t="s">
        <v>17</v>
      </c>
      <c r="C64" s="70">
        <v>0.6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11.173072304814047</v>
      </c>
    </row>
    <row r="67" spans="1:5" x14ac:dyDescent="0.25">
      <c r="A67" s="25"/>
      <c r="E67" s="61"/>
    </row>
    <row r="68" spans="1:5" x14ac:dyDescent="0.25">
      <c r="A68" s="104" t="s">
        <v>48</v>
      </c>
      <c r="E68" s="105">
        <f>(E66*0.25)*-1</f>
        <v>-2.7932680762035118</v>
      </c>
    </row>
    <row r="69" spans="1:5" x14ac:dyDescent="0.25">
      <c r="A69" s="25"/>
      <c r="C69" s="41"/>
      <c r="D69" s="41"/>
      <c r="E69" s="63"/>
    </row>
    <row r="70" spans="1:5" x14ac:dyDescent="0.25">
      <c r="A70" s="25" t="s">
        <v>43</v>
      </c>
      <c r="E70" s="60">
        <f>SUM(E62:E68)</f>
        <v>87.590910031166231</v>
      </c>
    </row>
    <row r="71" spans="1:5" x14ac:dyDescent="0.25">
      <c r="A71" s="25"/>
      <c r="E71" s="60"/>
    </row>
    <row r="72" spans="1:5" x14ac:dyDescent="0.25">
      <c r="A72" s="25" t="s">
        <v>44</v>
      </c>
      <c r="E72" s="63">
        <f>E70/C51-1</f>
        <v>1.9671717490232465</v>
      </c>
    </row>
    <row r="73" spans="1:5" x14ac:dyDescent="0.25">
      <c r="A73" s="25"/>
      <c r="E73" s="26"/>
    </row>
    <row r="74" spans="1:5" ht="16.5" thickBot="1" x14ac:dyDescent="0.3">
      <c r="A74" s="64" t="s">
        <v>45</v>
      </c>
      <c r="B74" s="65"/>
      <c r="C74" s="65"/>
      <c r="D74" s="65"/>
      <c r="E74" s="103">
        <f>(E70/C51)^(1/10)-1</f>
        <v>0.11489577210035073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opLeftCell="A48" zoomScaleNormal="100" workbookViewId="0">
      <selection activeCell="C51" sqref="C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3">
        <v>544.70000000000005</v>
      </c>
      <c r="D11" s="83">
        <v>538.4</v>
      </c>
      <c r="E11" s="83">
        <v>787.4</v>
      </c>
      <c r="F11" s="83">
        <v>1012.8</v>
      </c>
      <c r="G11" s="73">
        <f t="shared" ref="G11" si="0">F11*(1+G12)</f>
        <v>1119.144</v>
      </c>
      <c r="H11" s="73">
        <f t="shared" ref="H11" si="1">G11*(1+H12)</f>
        <v>1236.6541199999999</v>
      </c>
      <c r="I11" s="73">
        <f t="shared" ref="I11" si="2">H11*(1+I12)</f>
        <v>1366.5028026</v>
      </c>
      <c r="J11" s="73">
        <f t="shared" ref="J11" si="3">I11*(1+J12)</f>
        <v>1509.9855968730001</v>
      </c>
      <c r="K11" s="73">
        <f t="shared" ref="K11" si="4">J11*(1+K12)</f>
        <v>1668.5340845446651</v>
      </c>
      <c r="L11" s="73">
        <f t="shared" ref="L11" si="5">K11*(1+L12)</f>
        <v>1843.730163421855</v>
      </c>
      <c r="M11" s="73">
        <f t="shared" ref="M11:Q11" si="6">L11*(1+M12)</f>
        <v>2037.3218305811497</v>
      </c>
      <c r="N11" s="73">
        <f t="shared" si="6"/>
        <v>2251.2406227921706</v>
      </c>
      <c r="O11" s="73">
        <f t="shared" si="6"/>
        <v>2487.6208881853486</v>
      </c>
      <c r="P11" s="73">
        <f t="shared" si="6"/>
        <v>2636.8781414764694</v>
      </c>
      <c r="Q11" s="73">
        <f t="shared" si="6"/>
        <v>2689.6157043059989</v>
      </c>
    </row>
    <row r="12" spans="1:28" x14ac:dyDescent="0.25">
      <c r="A12" s="5"/>
      <c r="B12" s="4" t="s">
        <v>1</v>
      </c>
      <c r="C12" s="87"/>
      <c r="D12" s="90">
        <f t="shared" ref="D12:F12" si="7">D11/C11-1</f>
        <v>-1.1565999632825563E-2</v>
      </c>
      <c r="E12" s="90">
        <f t="shared" si="7"/>
        <v>0.46248142644873691</v>
      </c>
      <c r="F12" s="90">
        <f t="shared" si="7"/>
        <v>0.28625857251714493</v>
      </c>
      <c r="G12" s="86">
        <v>0.105</v>
      </c>
      <c r="H12" s="86">
        <f>G12</f>
        <v>0.105</v>
      </c>
      <c r="I12" s="86">
        <f t="shared" ref="I12:O12" si="8">H12</f>
        <v>0.105</v>
      </c>
      <c r="J12" s="86">
        <f t="shared" si="8"/>
        <v>0.105</v>
      </c>
      <c r="K12" s="86">
        <f t="shared" si="8"/>
        <v>0.105</v>
      </c>
      <c r="L12" s="86">
        <f t="shared" si="8"/>
        <v>0.105</v>
      </c>
      <c r="M12" s="86">
        <f t="shared" si="8"/>
        <v>0.105</v>
      </c>
      <c r="N12" s="86">
        <f t="shared" si="8"/>
        <v>0.105</v>
      </c>
      <c r="O12" s="86">
        <f t="shared" si="8"/>
        <v>0.105</v>
      </c>
      <c r="P12" s="86">
        <v>0.06</v>
      </c>
      <c r="Q12" s="86">
        <v>0.02</v>
      </c>
    </row>
    <row r="13" spans="1:28" ht="15.95" customHeight="1" x14ac:dyDescent="0.25">
      <c r="A13" s="5"/>
      <c r="B13" s="4" t="s">
        <v>15</v>
      </c>
      <c r="C13" s="89">
        <v>0.15720000000000001</v>
      </c>
      <c r="D13" s="89">
        <v>0.13320000000000001</v>
      </c>
      <c r="E13" s="89">
        <v>0.14480000000000001</v>
      </c>
      <c r="F13" s="89">
        <v>0.1469</v>
      </c>
      <c r="G13" s="85">
        <v>0.1847</v>
      </c>
      <c r="H13" s="85">
        <v>0.185</v>
      </c>
      <c r="I13" s="85">
        <v>0.1855</v>
      </c>
      <c r="J13" s="85">
        <v>0.18459999999999999</v>
      </c>
      <c r="K13" s="85">
        <v>0.19</v>
      </c>
      <c r="L13" s="85">
        <v>0.2</v>
      </c>
      <c r="M13" s="85">
        <v>0.20499999999999999</v>
      </c>
      <c r="N13" s="85">
        <v>0.21</v>
      </c>
      <c r="O13" s="85">
        <v>0.215</v>
      </c>
      <c r="P13" s="85">
        <v>0.22</v>
      </c>
      <c r="Q13" s="85">
        <v>0.22</v>
      </c>
    </row>
    <row r="14" spans="1:28" ht="17.100000000000001" customHeight="1" x14ac:dyDescent="0.25">
      <c r="A14" s="5"/>
      <c r="B14" s="4" t="s">
        <v>16</v>
      </c>
      <c r="C14" s="83">
        <f>C11*C13</f>
        <v>85.626840000000016</v>
      </c>
      <c r="D14" s="83">
        <f t="shared" ref="D14:Q14" si="9">D11*D13</f>
        <v>71.714880000000008</v>
      </c>
      <c r="E14" s="83">
        <f t="shared" si="9"/>
        <v>114.01552000000001</v>
      </c>
      <c r="F14" s="83">
        <f t="shared" si="9"/>
        <v>148.78031999999999</v>
      </c>
      <c r="G14" s="73">
        <f t="shared" si="9"/>
        <v>206.7058968</v>
      </c>
      <c r="H14" s="73">
        <f t="shared" si="9"/>
        <v>228.78101219999999</v>
      </c>
      <c r="I14" s="73">
        <f t="shared" si="9"/>
        <v>253.48626988230001</v>
      </c>
      <c r="J14" s="73">
        <f t="shared" si="9"/>
        <v>278.74334118275578</v>
      </c>
      <c r="K14" s="73">
        <f t="shared" si="9"/>
        <v>317.02147606348638</v>
      </c>
      <c r="L14" s="73">
        <f t="shared" si="9"/>
        <v>368.74603268437102</v>
      </c>
      <c r="M14" s="73">
        <f t="shared" si="9"/>
        <v>417.65097526913564</v>
      </c>
      <c r="N14" s="73">
        <f t="shared" si="9"/>
        <v>472.76053078635579</v>
      </c>
      <c r="O14" s="73">
        <f>O11*O13</f>
        <v>534.83849095984999</v>
      </c>
      <c r="P14" s="73">
        <f t="shared" si="9"/>
        <v>580.11319112482329</v>
      </c>
      <c r="Q14" s="73">
        <f t="shared" si="9"/>
        <v>591.7154549473197</v>
      </c>
    </row>
    <row r="15" spans="1:28" x14ac:dyDescent="0.25">
      <c r="A15" s="101">
        <v>0.25</v>
      </c>
      <c r="B15" s="4" t="s">
        <v>39</v>
      </c>
      <c r="C15" s="83">
        <v>61.87792000000001</v>
      </c>
      <c r="D15" s="83">
        <v>49.317439999999998</v>
      </c>
      <c r="E15" s="83">
        <v>69.763639999999995</v>
      </c>
      <c r="F15" s="83">
        <v>94.696799999999996</v>
      </c>
      <c r="G15" s="73">
        <v>149.22963600000003</v>
      </c>
      <c r="H15" s="73">
        <v>159.55604200000002</v>
      </c>
      <c r="I15" s="73">
        <v>171.48121599999999</v>
      </c>
      <c r="J15" s="73">
        <v>193.05279999999999</v>
      </c>
      <c r="K15" s="73">
        <f t="shared" ref="K15:Q15" si="10">K14*(1-$A$15)</f>
        <v>237.76610704761478</v>
      </c>
      <c r="L15" s="73">
        <f t="shared" si="10"/>
        <v>276.55952451327823</v>
      </c>
      <c r="M15" s="73">
        <f t="shared" si="10"/>
        <v>313.23823145185173</v>
      </c>
      <c r="N15" s="73">
        <f t="shared" si="10"/>
        <v>354.57039808976685</v>
      </c>
      <c r="O15" s="73">
        <f>O14*(1-$A$15)</f>
        <v>401.12886821988752</v>
      </c>
      <c r="P15" s="73">
        <f t="shared" si="10"/>
        <v>435.08489334361747</v>
      </c>
      <c r="Q15" s="73">
        <f t="shared" si="10"/>
        <v>443.78659121048975</v>
      </c>
    </row>
    <row r="16" spans="1:28" ht="32.25" hidden="1" thickBot="1" x14ac:dyDescent="0.3">
      <c r="A16" s="13" t="s">
        <v>6</v>
      </c>
      <c r="B16" s="14"/>
      <c r="C16" s="15">
        <f t="shared" ref="C16:J16" si="11">C15/C14</f>
        <v>0.72264631043256999</v>
      </c>
      <c r="D16" s="15">
        <f t="shared" si="11"/>
        <v>0.68768768768768762</v>
      </c>
      <c r="E16" s="15">
        <f t="shared" si="11"/>
        <v>0.61187845303867394</v>
      </c>
      <c r="F16" s="15">
        <f t="shared" si="11"/>
        <v>0.63648740639891088</v>
      </c>
      <c r="G16" s="15">
        <f t="shared" si="11"/>
        <v>0.72194184254157201</v>
      </c>
      <c r="H16" s="15">
        <f t="shared" si="11"/>
        <v>0.69741820121206732</v>
      </c>
      <c r="I16" s="15">
        <f t="shared" si="11"/>
        <v>0.67649114123468301</v>
      </c>
      <c r="J16" s="15">
        <f t="shared" si="11"/>
        <v>0.69258264316142537</v>
      </c>
    </row>
    <row r="17" spans="1:18" x14ac:dyDescent="0.25">
      <c r="A17" s="2" t="s">
        <v>36</v>
      </c>
      <c r="C17" s="83"/>
      <c r="D17" s="83"/>
      <c r="E17" s="83"/>
      <c r="F17" s="83"/>
      <c r="G17" s="73">
        <f>G15/G18</f>
        <v>1.1947929223378704</v>
      </c>
      <c r="H17" s="73">
        <f t="shared" ref="H17:O17" si="12">H15/H18</f>
        <v>1.2774703122497999</v>
      </c>
      <c r="I17" s="73">
        <f t="shared" si="12"/>
        <v>1.3729480864691752</v>
      </c>
      <c r="J17" s="73">
        <f t="shared" si="12"/>
        <v>1.5456589271417132</v>
      </c>
      <c r="K17" s="73">
        <f t="shared" si="12"/>
        <v>1.9036517778031607</v>
      </c>
      <c r="L17" s="73">
        <f t="shared" si="12"/>
        <v>2.2142475941815709</v>
      </c>
      <c r="M17" s="73">
        <f t="shared" si="12"/>
        <v>2.5079121813599015</v>
      </c>
      <c r="N17" s="73">
        <f t="shared" si="12"/>
        <v>2.8388342521198306</v>
      </c>
      <c r="O17" s="73">
        <f t="shared" si="12"/>
        <v>3.2116002259398519</v>
      </c>
      <c r="P17" s="73">
        <f>P15/P18</f>
        <v>3.483465919484527</v>
      </c>
      <c r="Q17" s="73"/>
    </row>
    <row r="18" spans="1:18" ht="32.25" thickBot="1" x14ac:dyDescent="0.3">
      <c r="A18" s="2" t="s">
        <v>38</v>
      </c>
      <c r="C18" s="83"/>
      <c r="D18" s="83"/>
      <c r="E18" s="83"/>
      <c r="F18" s="83"/>
      <c r="G18" s="73">
        <f>C50</f>
        <v>124.9</v>
      </c>
      <c r="H18" s="73">
        <f>G18*1</f>
        <v>124.9</v>
      </c>
      <c r="I18" s="73">
        <f t="shared" ref="I18:P18" si="13">H18*1</f>
        <v>124.9</v>
      </c>
      <c r="J18" s="73">
        <f t="shared" si="13"/>
        <v>124.9</v>
      </c>
      <c r="K18" s="73">
        <f t="shared" si="13"/>
        <v>124.9</v>
      </c>
      <c r="L18" s="73">
        <f t="shared" si="13"/>
        <v>124.9</v>
      </c>
      <c r="M18" s="73">
        <f t="shared" si="13"/>
        <v>124.9</v>
      </c>
      <c r="N18" s="73">
        <f t="shared" si="13"/>
        <v>124.9</v>
      </c>
      <c r="O18" s="73">
        <f t="shared" si="13"/>
        <v>124.9</v>
      </c>
      <c r="P18" s="73">
        <f t="shared" si="13"/>
        <v>124.9</v>
      </c>
      <c r="Q18" s="73"/>
    </row>
    <row r="19" spans="1:18" ht="16.5" thickBot="1" x14ac:dyDescent="0.3">
      <c r="A19" s="2"/>
      <c r="E19" s="51" t="s">
        <v>12</v>
      </c>
      <c r="F19" s="52"/>
      <c r="G19" s="53">
        <f>G15/(1+$C$55)</f>
        <v>135.75586627245852</v>
      </c>
      <c r="H19" s="53">
        <f>H15/(1+$C$55)^2</f>
        <v>132.04449681381266</v>
      </c>
      <c r="I19" s="53">
        <f>I15/(1+$C$55)^3</f>
        <v>129.10026437404713</v>
      </c>
      <c r="J19" s="53">
        <f>J15/(1+$C$55)^4</f>
        <v>132.21788560742274</v>
      </c>
      <c r="K19" s="53">
        <f>K15/(1+$C$55)^5</f>
        <v>148.13837476290206</v>
      </c>
      <c r="L19" s="53">
        <f>L15/(1+$C$55)^6</f>
        <v>156.75080292831882</v>
      </c>
      <c r="M19" s="53">
        <f>M15/(1+$C$55)^7</f>
        <v>161.51000970360434</v>
      </c>
      <c r="N19" s="53">
        <f>N15/(1+$C$55)^8</f>
        <v>166.31471680456804</v>
      </c>
      <c r="O19" s="53">
        <f>O15/(1+$C$55)^9</f>
        <v>171.16527002109774</v>
      </c>
      <c r="P19" s="53">
        <f>P15/(1+$C$55)^10</f>
        <v>168.89207110099375</v>
      </c>
      <c r="Q19" s="54">
        <f>(Q15/(C55-Q12))/(1+C55)^10</f>
        <v>2173.7528394071119</v>
      </c>
    </row>
    <row r="20" spans="1:18" x14ac:dyDescent="0.25">
      <c r="A20" s="2"/>
      <c r="C20" s="76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2"/>
      <c r="K21" s="102"/>
      <c r="L21" s="102"/>
      <c r="M21" s="102"/>
      <c r="N21" s="102"/>
      <c r="O21" s="102"/>
      <c r="P21" s="102"/>
      <c r="Q21" s="102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9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0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1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0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2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0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0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0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2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7" t="s">
        <v>34</v>
      </c>
      <c r="H33" s="22"/>
      <c r="I33" s="78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4">
        <v>45073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3687.0480000000002</v>
      </c>
      <c r="D49" s="47">
        <f>SUM(G19:Q19)</f>
        <v>3675.6425977963372</v>
      </c>
      <c r="E49" s="46" t="s">
        <v>47</v>
      </c>
    </row>
    <row r="50" spans="1:17" x14ac:dyDescent="0.25">
      <c r="A50" s="45"/>
      <c r="B50" s="46" t="s">
        <v>11</v>
      </c>
      <c r="C50" s="56">
        <v>124.9</v>
      </c>
      <c r="D50" s="56">
        <f>C50</f>
        <v>124.9</v>
      </c>
      <c r="E50" s="46"/>
    </row>
    <row r="51" spans="1:17" x14ac:dyDescent="0.25">
      <c r="A51" s="45"/>
      <c r="B51" s="46" t="s">
        <v>13</v>
      </c>
      <c r="C51" s="88">
        <v>29.52</v>
      </c>
      <c r="D51" s="88">
        <f>D49/(D50)</f>
        <v>29.42868372935418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3.1029682294194671E-3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1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4">
        <v>0.108</v>
      </c>
      <c r="C57" s="50"/>
      <c r="D57" s="75">
        <f>SUM(H57:Q57)*1000</f>
        <v>3087315.1983895893</v>
      </c>
      <c r="E57" s="46"/>
      <c r="F57" s="1" t="s">
        <v>23</v>
      </c>
      <c r="H57" s="1">
        <f>G15/(1+$B$57)</f>
        <v>134.68378700361012</v>
      </c>
      <c r="I57" s="1">
        <f>H15/(1+$B$57)^2</f>
        <v>129.96719134877293</v>
      </c>
      <c r="J57" s="1">
        <f>I15/(1+$B$57)^3</f>
        <v>126.06579685745687</v>
      </c>
      <c r="K57" s="1">
        <f>J15/(1+$B$57)^4</f>
        <v>128.09054201092727</v>
      </c>
      <c r="L57" s="1">
        <f>K15/(1+$B$57)^5</f>
        <v>142.38070701297755</v>
      </c>
      <c r="M57" s="1">
        <f>L15/(1+$B$57)^6</f>
        <v>149.46863124581054</v>
      </c>
      <c r="N57" s="1">
        <f>M15/(1+$B$57)^7</f>
        <v>152.79053110540266</v>
      </c>
      <c r="O57" s="1">
        <f>N15/(1+$B$57)^8</f>
        <v>156.09334658364304</v>
      </c>
      <c r="P57" s="1">
        <f>O15/(1+$B$57)^9</f>
        <v>159.37715667272218</v>
      </c>
      <c r="Q57" s="1">
        <f>(Q15/(B57-Q12))/(1+B57)^10</f>
        <v>1808.3975085482659</v>
      </c>
    </row>
    <row r="58" spans="1:17" ht="16.5" thickBot="1" x14ac:dyDescent="0.3">
      <c r="A58" s="22"/>
      <c r="C58" s="66"/>
      <c r="D58" s="67"/>
    </row>
    <row r="59" spans="1:17" x14ac:dyDescent="0.25">
      <c r="A59" s="59" t="s">
        <v>42</v>
      </c>
      <c r="B59" s="23"/>
      <c r="C59" s="68">
        <v>20</v>
      </c>
      <c r="D59" s="23"/>
      <c r="E59" s="24"/>
    </row>
    <row r="60" spans="1:17" x14ac:dyDescent="0.25">
      <c r="A60" s="25" t="s">
        <v>21</v>
      </c>
      <c r="C60" s="69" t="s">
        <v>40</v>
      </c>
      <c r="E60" s="26"/>
    </row>
    <row r="61" spans="1:17" x14ac:dyDescent="0.25">
      <c r="A61" s="25"/>
      <c r="C61" s="69"/>
      <c r="E61" s="26"/>
    </row>
    <row r="62" spans="1:17" x14ac:dyDescent="0.25">
      <c r="A62" s="25" t="s">
        <v>37</v>
      </c>
      <c r="C62" s="69"/>
      <c r="E62" s="60">
        <f>P17*C59</f>
        <v>69.669318389690545</v>
      </c>
    </row>
    <row r="63" spans="1:17" x14ac:dyDescent="0.25">
      <c r="A63" s="25"/>
      <c r="C63" s="69"/>
      <c r="E63" s="26"/>
    </row>
    <row r="64" spans="1:17" x14ac:dyDescent="0.25">
      <c r="A64" s="25" t="s">
        <v>17</v>
      </c>
      <c r="C64" s="70">
        <v>0.6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12.930349319452441</v>
      </c>
    </row>
    <row r="67" spans="1:5" x14ac:dyDescent="0.25">
      <c r="A67" s="25"/>
      <c r="E67" s="61"/>
    </row>
    <row r="68" spans="1:5" x14ac:dyDescent="0.25">
      <c r="A68" s="104" t="s">
        <v>48</v>
      </c>
      <c r="E68" s="62">
        <f>(E66*0.25)*-1</f>
        <v>-3.2325873298631103</v>
      </c>
    </row>
    <row r="69" spans="1:5" x14ac:dyDescent="0.25">
      <c r="A69" s="25"/>
      <c r="C69" s="41"/>
      <c r="D69" s="41"/>
      <c r="E69" s="63"/>
    </row>
    <row r="70" spans="1:5" x14ac:dyDescent="0.25">
      <c r="A70" s="25" t="s">
        <v>43</v>
      </c>
      <c r="E70" s="60">
        <f>SUM(E62:E68)</f>
        <v>79.367080379279884</v>
      </c>
    </row>
    <row r="71" spans="1:5" x14ac:dyDescent="0.25">
      <c r="A71" s="25"/>
      <c r="E71" s="60"/>
    </row>
    <row r="72" spans="1:5" x14ac:dyDescent="0.25">
      <c r="A72" s="25" t="s">
        <v>44</v>
      </c>
      <c r="E72" s="63">
        <f>E70/C51-1</f>
        <v>1.6885867337154434</v>
      </c>
    </row>
    <row r="73" spans="1:5" x14ac:dyDescent="0.25">
      <c r="A73" s="25"/>
      <c r="E73" s="26"/>
    </row>
    <row r="74" spans="1:5" ht="16.5" thickBot="1" x14ac:dyDescent="0.3">
      <c r="A74" s="64" t="s">
        <v>45</v>
      </c>
      <c r="B74" s="65"/>
      <c r="C74" s="65"/>
      <c r="D74" s="65"/>
      <c r="E74" s="103">
        <f>(E70/C51)^(1/10)-1</f>
        <v>0.10395762920527774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2023-05-27T06:56:33Z</dcterms:modified>
</cp:coreProperties>
</file>