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ownloads\"/>
    </mc:Choice>
  </mc:AlternateContent>
  <xr:revisionPtr revIDLastSave="0" documentId="13_ncr:1_{781F6915-1182-4790-B489-530C7218F9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ssimistisch" sheetId="34" r:id="rId1"/>
    <sheet name="Optimistisch" sheetId="32" r:id="rId2"/>
    <sheet name="Wachstum für faire Bewertung" sheetId="3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32" l="1"/>
  <c r="J12" i="34"/>
  <c r="G11" i="35" l="1"/>
  <c r="H12" i="35" l="1"/>
  <c r="H11" i="35" s="1"/>
  <c r="I12" i="35" l="1"/>
  <c r="J12" i="35" s="1"/>
  <c r="K12" i="35" s="1"/>
  <c r="L12" i="35" s="1"/>
  <c r="M12" i="35" s="1"/>
  <c r="N12" i="35" s="1"/>
  <c r="O12" i="35" s="1"/>
  <c r="D50" i="35"/>
  <c r="C49" i="35"/>
  <c r="I31" i="35"/>
  <c r="I33" i="35" s="1"/>
  <c r="D46" i="35" s="1"/>
  <c r="C55" i="35" s="1"/>
  <c r="I25" i="35"/>
  <c r="G18" i="35"/>
  <c r="H18" i="35" s="1"/>
  <c r="I18" i="35" s="1"/>
  <c r="J18" i="35" s="1"/>
  <c r="K18" i="35" s="1"/>
  <c r="L18" i="35" s="1"/>
  <c r="M18" i="35" s="1"/>
  <c r="N18" i="35" s="1"/>
  <c r="O18" i="35" s="1"/>
  <c r="P18" i="35" s="1"/>
  <c r="F14" i="35"/>
  <c r="F16" i="35" s="1"/>
  <c r="E14" i="35"/>
  <c r="E16" i="35" s="1"/>
  <c r="D14" i="35"/>
  <c r="D16" i="35" s="1"/>
  <c r="C14" i="35"/>
  <c r="C16" i="35" s="1"/>
  <c r="F12" i="35"/>
  <c r="E12" i="35"/>
  <c r="D12" i="35"/>
  <c r="I11" i="35" l="1"/>
  <c r="J11" i="35" s="1"/>
  <c r="K11" i="35" s="1"/>
  <c r="L11" i="35" s="1"/>
  <c r="D14" i="34" l="1"/>
  <c r="E14" i="34"/>
  <c r="F14" i="34"/>
  <c r="G14" i="34"/>
  <c r="H14" i="34"/>
  <c r="I14" i="34"/>
  <c r="C14" i="34"/>
  <c r="D50" i="34" l="1"/>
  <c r="D50" i="32"/>
  <c r="G18" i="34"/>
  <c r="H18" i="34" s="1"/>
  <c r="I18" i="34" s="1"/>
  <c r="J18" i="34" s="1"/>
  <c r="K18" i="34" s="1"/>
  <c r="L18" i="34" s="1"/>
  <c r="M18" i="34" s="1"/>
  <c r="N18" i="34" s="1"/>
  <c r="O18" i="34" s="1"/>
  <c r="P18" i="34" s="1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G14" i="32" l="1"/>
  <c r="H14" i="32"/>
  <c r="I14" i="32"/>
  <c r="D14" i="32"/>
  <c r="E14" i="32"/>
  <c r="F14" i="32"/>
  <c r="C14" i="32"/>
  <c r="I25" i="32" l="1"/>
  <c r="I12" i="32" l="1"/>
  <c r="H12" i="34" l="1"/>
  <c r="I12" i="34"/>
  <c r="G12" i="34"/>
  <c r="E12" i="34"/>
  <c r="F12" i="34"/>
  <c r="D12" i="34"/>
  <c r="D12" i="32" l="1"/>
  <c r="E12" i="32"/>
  <c r="F12" i="32"/>
  <c r="G12" i="32"/>
  <c r="H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J57" i="34" l="1"/>
  <c r="I16" i="34"/>
  <c r="I19" i="34"/>
  <c r="I17" i="34"/>
  <c r="H17" i="32" l="1"/>
  <c r="G17" i="32"/>
  <c r="I17" i="32" l="1"/>
  <c r="H14" i="35" l="1"/>
  <c r="G14" i="35"/>
  <c r="I14" i="35" l="1"/>
  <c r="I57" i="35" l="1"/>
  <c r="H19" i="35"/>
  <c r="H17" i="35"/>
  <c r="H16" i="35"/>
  <c r="H57" i="35"/>
  <c r="G19" i="35"/>
  <c r="G17" i="35"/>
  <c r="G16" i="35"/>
  <c r="J14" i="35"/>
  <c r="J57" i="35" l="1"/>
  <c r="I19" i="35"/>
  <c r="I17" i="35"/>
  <c r="I16" i="35"/>
  <c r="J16" i="35"/>
  <c r="K14" i="35"/>
  <c r="K15" i="35" s="1"/>
  <c r="K57" i="35" l="1"/>
  <c r="J19" i="35"/>
  <c r="J17" i="35"/>
  <c r="K17" i="35"/>
  <c r="K19" i="35"/>
  <c r="L57" i="35"/>
  <c r="M11" i="35"/>
  <c r="L14" i="35"/>
  <c r="L15" i="35" s="1"/>
  <c r="M57" i="35" l="1"/>
  <c r="L17" i="35"/>
  <c r="L19" i="35"/>
  <c r="M14" i="35"/>
  <c r="M15" i="35" s="1"/>
  <c r="N11" i="35"/>
  <c r="N14" i="35" l="1"/>
  <c r="N15" i="35" s="1"/>
  <c r="O11" i="35"/>
  <c r="M19" i="35"/>
  <c r="N57" i="35"/>
  <c r="M17" i="35"/>
  <c r="P11" i="35" l="1"/>
  <c r="O14" i="35"/>
  <c r="O15" i="35" s="1"/>
  <c r="N17" i="35"/>
  <c r="N19" i="35"/>
  <c r="O57" i="35"/>
  <c r="O17" i="35" l="1"/>
  <c r="O19" i="35"/>
  <c r="P57" i="35"/>
  <c r="Q11" i="35"/>
  <c r="Q14" i="35" s="1"/>
  <c r="Q15" i="35" s="1"/>
  <c r="P14" i="35"/>
  <c r="P15" i="35" s="1"/>
  <c r="D42" i="35" l="1"/>
  <c r="D40" i="35"/>
  <c r="D41" i="35"/>
  <c r="P19" i="35"/>
  <c r="P17" i="35"/>
  <c r="Q19" i="35"/>
  <c r="Q57" i="35"/>
  <c r="D57" i="35" s="1"/>
  <c r="D43" i="35"/>
  <c r="D44" i="35"/>
  <c r="D49" i="35" l="1"/>
  <c r="D51" i="35" s="1"/>
  <c r="D53" i="35" s="1"/>
  <c r="E62" i="35"/>
  <c r="E66" i="35"/>
  <c r="E68" i="35" s="1"/>
  <c r="E70" i="35" l="1"/>
  <c r="E74" i="35" s="1"/>
  <c r="D52" i="35" l="1"/>
  <c r="E72" i="35"/>
  <c r="J14" i="34" l="1"/>
  <c r="J16" i="34" l="1"/>
  <c r="K11" i="34"/>
  <c r="J19" i="34" l="1"/>
  <c r="K57" i="34"/>
  <c r="J17" i="34"/>
  <c r="K14" i="34"/>
  <c r="K15" i="34" s="1"/>
  <c r="L11" i="34"/>
  <c r="L14" i="34" l="1"/>
  <c r="L15" i="34" s="1"/>
  <c r="M11" i="34"/>
  <c r="K19" i="34"/>
  <c r="K17" i="34"/>
  <c r="L57" i="34"/>
  <c r="N11" i="34" l="1"/>
  <c r="M14" i="34"/>
  <c r="M15" i="34" s="1"/>
  <c r="M57" i="34"/>
  <c r="L19" i="34"/>
  <c r="L17" i="34"/>
  <c r="M19" i="34" l="1"/>
  <c r="N57" i="34"/>
  <c r="M17" i="34"/>
  <c r="N14" i="34"/>
  <c r="N15" i="34" s="1"/>
  <c r="O11" i="34"/>
  <c r="O14" i="34" l="1"/>
  <c r="O15" i="34" s="1"/>
  <c r="P11" i="34"/>
  <c r="O57" i="34"/>
  <c r="N17" i="34"/>
  <c r="N19" i="34"/>
  <c r="Q11" i="34" l="1"/>
  <c r="Q14" i="34" s="1"/>
  <c r="Q15" i="34" s="1"/>
  <c r="P14" i="34"/>
  <c r="P15" i="34" s="1"/>
  <c r="O19" i="34"/>
  <c r="P57" i="34"/>
  <c r="O17" i="34"/>
  <c r="D43" i="34" l="1"/>
  <c r="D42" i="34"/>
  <c r="D40" i="34"/>
  <c r="D44" i="34"/>
  <c r="D41" i="34"/>
  <c r="P17" i="34"/>
  <c r="P19" i="34"/>
  <c r="Q19" i="34"/>
  <c r="Q57" i="34"/>
  <c r="D57" i="34" s="1"/>
  <c r="D49" i="34" l="1"/>
  <c r="D51" i="34" s="1"/>
  <c r="D52" i="34" s="1"/>
  <c r="E62" i="34"/>
  <c r="E66" i="34"/>
  <c r="E68" i="34" s="1"/>
  <c r="D53" i="34" l="1"/>
  <c r="E70" i="34"/>
  <c r="E72" i="34" l="1"/>
  <c r="E74" i="34"/>
  <c r="J14" i="32"/>
  <c r="J19" i="32" l="1"/>
  <c r="K57" i="32"/>
  <c r="J16" i="32"/>
  <c r="J17" i="32"/>
  <c r="K11" i="32"/>
  <c r="L11" i="32" l="1"/>
  <c r="K14" i="32"/>
  <c r="K15" i="32" s="1"/>
  <c r="K17" i="32" l="1"/>
  <c r="L57" i="32"/>
  <c r="K19" i="32"/>
  <c r="L14" i="32"/>
  <c r="L15" i="32" s="1"/>
  <c r="M11" i="32"/>
  <c r="M14" i="32" l="1"/>
  <c r="M15" i="32" s="1"/>
  <c r="N11" i="32"/>
  <c r="L19" i="32"/>
  <c r="M57" i="32"/>
  <c r="L17" i="32"/>
  <c r="N14" i="32" l="1"/>
  <c r="N15" i="32" s="1"/>
  <c r="O11" i="32"/>
  <c r="N57" i="32"/>
  <c r="M17" i="32"/>
  <c r="M19" i="32"/>
  <c r="P11" i="32" l="1"/>
  <c r="O14" i="32"/>
  <c r="O15" i="32" s="1"/>
  <c r="O57" i="32"/>
  <c r="N19" i="32"/>
  <c r="N17" i="32"/>
  <c r="O17" i="32" l="1"/>
  <c r="P57" i="32"/>
  <c r="O19" i="32"/>
  <c r="Q11" i="32"/>
  <c r="Q14" i="32" s="1"/>
  <c r="Q15" i="32" s="1"/>
  <c r="P14" i="32"/>
  <c r="P15" i="32" s="1"/>
  <c r="D43" i="32" l="1"/>
  <c r="D44" i="32"/>
  <c r="D42" i="32"/>
  <c r="D40" i="32"/>
  <c r="D41" i="32"/>
  <c r="P19" i="32"/>
  <c r="P17" i="32"/>
  <c r="E62" i="32" s="1"/>
  <c r="Q57" i="32"/>
  <c r="D57" i="32" s="1"/>
  <c r="Q19" i="32"/>
  <c r="D49" i="32" l="1"/>
  <c r="D51" i="32" s="1"/>
  <c r="D52" i="32" s="1"/>
  <c r="E66" i="32"/>
  <c r="E68" i="32" s="1"/>
  <c r="E70" i="32" l="1"/>
  <c r="E72" i="32" s="1"/>
  <c r="D53" i="32"/>
  <c r="E74" i="32" l="1"/>
</calcChain>
</file>

<file path=xl/sharedStrings.xml><?xml version="1.0" encoding="utf-8"?>
<sst xmlns="http://schemas.openxmlformats.org/spreadsheetml/2006/main" count="149" uniqueCount="49">
  <si>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</si>
  <si>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</si>
  <si>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</si>
  <si>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</si>
  <si>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</si>
  <si>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</si>
  <si>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</si>
  <si>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</si>
  <si>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</si>
  <si>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</si>
  <si>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</si>
  <si>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</si>
  <si>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</si>
  <si>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</si>
  <si>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</si>
  <si>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</si>
  <si>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</si>
  <si>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</si>
  <si>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</si>
  <si>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</si>
  <si>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</si>
  <si>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</si>
  <si>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</si>
  <si>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</si>
  <si>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</si>
  <si>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</si>
  <si>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</si>
  <si>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</si>
  <si>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</si>
  <si>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</si>
  <si>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</si>
  <si>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</si>
  <si>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</si>
  <si>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</si>
  <si>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</si>
  <si>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</si>
  <si>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</si>
  <si>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</si>
  <si>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</si>
  <si>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</si>
  <si>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</si>
  <si>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2033ff.</t>
  </si>
  <si>
    <t>KGV Multiple in 2032</t>
  </si>
  <si>
    <t>Gesamtwert 2032</t>
  </si>
  <si>
    <t>Steigerung Gesamt bis 2032 in Prozent</t>
  </si>
  <si>
    <t>Renditeerwartung bis 2032 pro Jahr</t>
  </si>
  <si>
    <t>Quellensteuer USA (25 %)</t>
  </si>
  <si>
    <t xml:space="preserve"> Annahmen für Nexus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</si>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</sst>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8" fillId="2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 wrapText="1"/>
    </xf>
    <xf numFmtId="0" fontId="10" fillId="2" borderId="0" xfId="0" applyFont="1" applyFill="1"/>
    <xf numFmtId="9" fontId="10" fillId="2" borderId="0" xfId="1" applyFont="1" applyFill="1"/>
    <xf numFmtId="0" fontId="0" fillId="4" borderId="0" xfId="0" applyFill="1"/>
    <xf numFmtId="0" fontId="6" fillId="4" borderId="0" xfId="0" applyFont="1" applyFill="1"/>
    <xf numFmtId="0" fontId="5" fillId="4" borderId="0" xfId="0" applyFont="1" applyFill="1"/>
    <xf numFmtId="0" fontId="6" fillId="5" borderId="0" xfId="0" applyFont="1" applyFill="1"/>
    <xf numFmtId="165" fontId="4" fillId="7" borderId="0" xfId="1" applyNumberFormat="1" applyFont="1" applyFill="1"/>
    <xf numFmtId="0" fontId="0" fillId="2" borderId="1" xfId="0" applyFill="1" applyBorder="1" applyAlignment="1">
      <alignment wrapText="1"/>
    </xf>
    <xf numFmtId="0" fontId="9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6" fillId="6" borderId="0" xfId="0" applyFont="1" applyFill="1" applyAlignment="1">
      <alignment horizontal="right"/>
    </xf>
    <xf numFmtId="0" fontId="8" fillId="6" borderId="0" xfId="0" applyFont="1" applyFill="1"/>
    <xf numFmtId="0" fontId="11" fillId="6" borderId="0" xfId="0" applyFont="1" applyFill="1"/>
    <xf numFmtId="4" fontId="6" fillId="6" borderId="0" xfId="0" applyNumberFormat="1" applyFont="1" applyFill="1"/>
    <xf numFmtId="0" fontId="6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2" fillId="2" borderId="0" xfId="0" applyFont="1" applyFill="1"/>
    <xf numFmtId="4" fontId="6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4" fillId="2" borderId="0" xfId="1" applyNumberFormat="1" applyFont="1" applyFill="1" applyBorder="1"/>
    <xf numFmtId="3" fontId="6" fillId="2" borderId="0" xfId="0" applyNumberFormat="1" applyFont="1" applyFill="1"/>
    <xf numFmtId="165" fontId="6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6" fillId="2" borderId="0" xfId="0" applyNumberFormat="1" applyFont="1" applyFill="1"/>
    <xf numFmtId="10" fontId="6" fillId="2" borderId="10" xfId="0" applyNumberFormat="1" applyFont="1" applyFill="1" applyBorder="1"/>
    <xf numFmtId="0" fontId="6" fillId="8" borderId="0" xfId="0" applyFont="1" applyFill="1" applyAlignment="1">
      <alignment vertical="center" wrapText="1"/>
    </xf>
    <xf numFmtId="0" fontId="0" fillId="8" borderId="0" xfId="0" applyFill="1"/>
    <xf numFmtId="4" fontId="10" fillId="8" borderId="0" xfId="0" applyNumberFormat="1" applyFont="1" applyFill="1"/>
    <xf numFmtId="0" fontId="6" fillId="8" borderId="0" xfId="0" applyFont="1" applyFill="1"/>
    <xf numFmtId="1" fontId="4" fillId="8" borderId="0" xfId="1" applyNumberFormat="1" applyFont="1" applyFill="1"/>
    <xf numFmtId="10" fontId="6" fillId="8" borderId="0" xfId="1" applyNumberFormat="1" applyFont="1" applyFill="1"/>
    <xf numFmtId="0" fontId="0" fillId="2" borderId="1" xfId="0" applyFill="1" applyBorder="1"/>
    <xf numFmtId="0" fontId="10" fillId="2" borderId="2" xfId="0" applyFont="1" applyFill="1" applyBorder="1"/>
    <xf numFmtId="2" fontId="8" fillId="2" borderId="2" xfId="0" applyNumberFormat="1" applyFont="1" applyFill="1" applyBorder="1"/>
    <xf numFmtId="2" fontId="8" fillId="2" borderId="3" xfId="0" applyNumberFormat="1" applyFont="1" applyFill="1" applyBorder="1"/>
    <xf numFmtId="0" fontId="11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6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7" fillId="2" borderId="8" xfId="0" quotePrefix="1" applyNumberFormat="1" applyFont="1" applyFill="1" applyBorder="1"/>
    <xf numFmtId="4" fontId="13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6" fillId="2" borderId="0" xfId="1" applyNumberFormat="1" applyFont="1" applyFill="1"/>
    <xf numFmtId="1" fontId="4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4" fillId="8" borderId="0" xfId="1" applyNumberFormat="1" applyFont="1" applyFill="1"/>
    <xf numFmtId="0" fontId="0" fillId="2" borderId="0" xfId="0" quotePrefix="1" applyFill="1"/>
    <xf numFmtId="0" fontId="6" fillId="2" borderId="7" xfId="0" applyFont="1" applyFill="1" applyBorder="1"/>
    <xf numFmtId="10" fontId="6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10" fillId="5" borderId="0" xfId="0" applyNumberFormat="1" applyFont="1" applyFill="1"/>
    <xf numFmtId="164" fontId="11" fillId="6" borderId="0" xfId="0" applyNumberFormat="1" applyFont="1" applyFill="1"/>
    <xf numFmtId="10" fontId="0" fillId="7" borderId="0" xfId="1" applyNumberFormat="1" applyFont="1" applyFill="1"/>
    <xf numFmtId="165" fontId="10" fillId="7" borderId="0" xfId="1" applyNumberFormat="1" applyFont="1" applyFill="1"/>
    <xf numFmtId="9" fontId="10" fillId="5" borderId="0" xfId="1" applyFont="1" applyFill="1"/>
    <xf numFmtId="2" fontId="0" fillId="8" borderId="0" xfId="0" applyNumberFormat="1" applyFill="1"/>
    <xf numFmtId="10" fontId="10" fillId="5" borderId="0" xfId="1" applyNumberFormat="1" applyFont="1" applyFill="1"/>
    <xf numFmtId="165" fontId="10" fillId="5" borderId="0" xfId="1" applyNumberFormat="1" applyFont="1" applyFill="1"/>
    <xf numFmtId="0" fontId="10" fillId="2" borderId="4" xfId="0" applyFont="1" applyFill="1" applyBorder="1"/>
    <xf numFmtId="0" fontId="10" fillId="2" borderId="5" xfId="0" applyFont="1" applyFill="1" applyBorder="1"/>
    <xf numFmtId="10" fontId="10" fillId="2" borderId="5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0" xfId="0" applyFont="1" applyFill="1" applyAlignment="1">
      <alignment horizontal="right"/>
    </xf>
    <xf numFmtId="10" fontId="10" fillId="2" borderId="0" xfId="1" applyNumberFormat="1" applyFont="1" applyFill="1" applyBorder="1" applyAlignment="1">
      <alignment horizontal="right"/>
    </xf>
    <xf numFmtId="10" fontId="10" fillId="2" borderId="0" xfId="0" applyNumberFormat="1" applyFont="1" applyFill="1" applyAlignment="1">
      <alignment horizontal="right"/>
    </xf>
    <xf numFmtId="0" fontId="11" fillId="2" borderId="7" xfId="0" applyFont="1" applyFill="1" applyBorder="1"/>
    <xf numFmtId="0" fontId="11" fillId="2" borderId="0" xfId="0" applyFont="1" applyFill="1"/>
    <xf numFmtId="10" fontId="11" fillId="2" borderId="0" xfId="0" applyNumberFormat="1" applyFont="1" applyFill="1"/>
    <xf numFmtId="9" fontId="10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  <xf numFmtId="10" fontId="0" fillId="2" borderId="7" xfId="0" applyNumberFormat="1" applyFill="1" applyBorder="1"/>
  </cellXfs>
  <cellStyles count="11">
    <cellStyle name="Prozent" xfId="1" builtinId="5"/>
    <cellStyle name="Prozent 2" xfId="2" xr:uid="{00000000-0005-0000-0000-000001000000}"/>
    <cellStyle name="Prozent 3" xfId="4" xr:uid="{00000000-0005-0000-0000-000002000000}"/>
    <cellStyle name="Prozent 3 2" xfId="8" xr:uid="{ACDD9188-69D6-4028-9709-96C6465716DF}"/>
    <cellStyle name="Prozent 4" xfId="6" xr:uid="{DE5E001C-AEE3-45AD-B913-D01465EAAE5D}"/>
    <cellStyle name="Prozent 4 2" xfId="10" xr:uid="{51C2CB77-11E2-4A8F-AF10-1CB4B8601286}"/>
    <cellStyle name="Standard" xfId="0" builtinId="0"/>
    <cellStyle name="Standard 2" xfId="3" xr:uid="{00000000-0005-0000-0000-000004000000}"/>
    <cellStyle name="Standard 2 2" xfId="7" xr:uid="{715999C6-8BDD-464F-A53F-2D0C0610C1C9}"/>
    <cellStyle name="Standard 3" xfId="5" xr:uid="{D21CDE20-7D2B-4947-8C50-96BDB9D63654}"/>
    <cellStyle name="Standard 3 2" xfId="9" xr:uid="{5011BA1F-B6E3-4681-B716-D0C9CC684563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7A5F"/>
      <color rgb="FFCC99FF"/>
      <color rgb="FFFFCC99"/>
      <color rgb="FFFFCC66"/>
      <color rgb="FFFFEB7D"/>
      <color rgb="FF009900"/>
      <color rgb="FFCCCCFF"/>
      <color rgb="FF9966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15507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D6B0C2-47F7-4639-9157-E9F95B4B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abSelected="1" topLeftCell="A51" zoomScaleNormal="100" workbookViewId="0">
      <selection activeCell="C52" sqref="C52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17" width="16.25" style="1" customWidth="1"/>
    <col min="18" max="18" width="10.58203125" style="1" customWidth="1"/>
    <col min="19" max="16384" width="10.58203125" style="1"/>
  </cols>
  <sheetData>
    <row r="2" spans="1:28" ht="26" x14ac:dyDescent="0.6">
      <c r="B2" s="31" t="s">
        <v>10</v>
      </c>
    </row>
    <row r="4" spans="1:28" x14ac:dyDescent="0.35">
      <c r="B4" s="22" t="s">
        <v>47</v>
      </c>
    </row>
    <row r="6" spans="1:28" x14ac:dyDescent="0.35">
      <c r="B6" s="1" t="s">
        <v>33</v>
      </c>
    </row>
    <row r="9" spans="1:28" s="8" customFormat="1" x14ac:dyDescent="0.3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35">
      <c r="A11" s="5"/>
      <c r="B11" s="4" t="s">
        <v>4</v>
      </c>
      <c r="C11" s="83">
        <v>147.65</v>
      </c>
      <c r="D11" s="83">
        <v>162.94</v>
      </c>
      <c r="E11" s="83">
        <v>188.18</v>
      </c>
      <c r="F11" s="83">
        <v>209.13</v>
      </c>
      <c r="G11" s="73">
        <v>233.68</v>
      </c>
      <c r="H11" s="73">
        <v>259.5</v>
      </c>
      <c r="I11" s="73">
        <v>284.10000000000002</v>
      </c>
      <c r="J11" s="73">
        <v>303.58</v>
      </c>
      <c r="K11" s="73">
        <f t="shared" ref="K11" si="0">J11*(1+K12)</f>
        <v>321.79480000000001</v>
      </c>
      <c r="L11" s="73">
        <f t="shared" ref="L11:Q11" si="1">K11*(1+L12)</f>
        <v>341.10248800000005</v>
      </c>
      <c r="M11" s="73">
        <f t="shared" si="1"/>
        <v>358.15761240000006</v>
      </c>
      <c r="N11" s="73">
        <f t="shared" si="1"/>
        <v>372.4839168960001</v>
      </c>
      <c r="O11" s="73">
        <f t="shared" si="1"/>
        <v>383.65843440288012</v>
      </c>
      <c r="P11" s="73">
        <f t="shared" si="1"/>
        <v>391.33160309093773</v>
      </c>
      <c r="Q11" s="73">
        <f t="shared" si="1"/>
        <v>397.20157713730174</v>
      </c>
    </row>
    <row r="12" spans="1:28" x14ac:dyDescent="0.35">
      <c r="A12" s="5"/>
      <c r="B12" s="4" t="s">
        <v>1</v>
      </c>
      <c r="C12" s="87"/>
      <c r="D12" s="90">
        <f t="shared" ref="D12:J12" si="2">D11/C11-1</f>
        <v>0.10355570606163211</v>
      </c>
      <c r="E12" s="90">
        <f t="shared" si="2"/>
        <v>0.15490364551368607</v>
      </c>
      <c r="F12" s="90">
        <f t="shared" si="2"/>
        <v>0.11132957806355614</v>
      </c>
      <c r="G12" s="86">
        <f t="shared" si="2"/>
        <v>0.11739109644718604</v>
      </c>
      <c r="H12" s="86">
        <f t="shared" si="2"/>
        <v>0.11049298185552892</v>
      </c>
      <c r="I12" s="86">
        <f t="shared" si="2"/>
        <v>9.479768786127174E-2</v>
      </c>
      <c r="J12" s="86">
        <f t="shared" si="2"/>
        <v>6.8567405843012796E-2</v>
      </c>
      <c r="K12" s="86">
        <v>0.06</v>
      </c>
      <c r="L12" s="72">
        <v>0.06</v>
      </c>
      <c r="M12" s="72">
        <v>0.05</v>
      </c>
      <c r="N12" s="72">
        <v>0.04</v>
      </c>
      <c r="O12" s="72">
        <v>0.03</v>
      </c>
      <c r="P12" s="72">
        <v>0.02</v>
      </c>
      <c r="Q12" s="12">
        <v>1.4999999999999999E-2</v>
      </c>
    </row>
    <row r="13" spans="1:28" ht="16" customHeight="1" x14ac:dyDescent="0.35">
      <c r="A13" s="5"/>
      <c r="B13" s="4" t="s">
        <v>15</v>
      </c>
      <c r="C13" s="89">
        <v>5.79E-2</v>
      </c>
      <c r="D13" s="89">
        <v>7.8299999999999995E-2</v>
      </c>
      <c r="E13" s="89">
        <v>0.11940000000000001</v>
      </c>
      <c r="F13" s="89">
        <v>0.13100000000000001</v>
      </c>
      <c r="G13" s="85">
        <v>0.13289999999999999</v>
      </c>
      <c r="H13" s="85">
        <v>0.15279999999999999</v>
      </c>
      <c r="I13" s="85">
        <v>0.1653</v>
      </c>
      <c r="J13" s="85">
        <v>0.17119999999999999</v>
      </c>
      <c r="K13" s="85">
        <v>0.17499999999999999</v>
      </c>
      <c r="L13" s="85">
        <v>0.17499999999999999</v>
      </c>
      <c r="M13" s="85">
        <v>0.18</v>
      </c>
      <c r="N13" s="85">
        <v>0.18</v>
      </c>
      <c r="O13" s="85">
        <v>0.18</v>
      </c>
      <c r="P13" s="85">
        <v>0.18</v>
      </c>
      <c r="Q13" s="85">
        <v>0.18</v>
      </c>
    </row>
    <row r="14" spans="1:28" ht="17.149999999999999" customHeight="1" x14ac:dyDescent="0.35">
      <c r="A14" s="5"/>
      <c r="B14" s="4" t="s">
        <v>16</v>
      </c>
      <c r="C14" s="83">
        <f>C11*C13</f>
        <v>8.5489350000000002</v>
      </c>
      <c r="D14" s="83">
        <f t="shared" ref="D14:I14" si="3">D11*D13</f>
        <v>12.758201999999999</v>
      </c>
      <c r="E14" s="83">
        <f t="shared" si="3"/>
        <v>22.468692000000001</v>
      </c>
      <c r="F14" s="83">
        <f t="shared" si="3"/>
        <v>27.39603</v>
      </c>
      <c r="G14" s="73">
        <f t="shared" si="3"/>
        <v>31.056072</v>
      </c>
      <c r="H14" s="73">
        <f t="shared" si="3"/>
        <v>39.651599999999995</v>
      </c>
      <c r="I14" s="73">
        <f t="shared" si="3"/>
        <v>46.961730000000003</v>
      </c>
      <c r="J14" s="73">
        <f>J11*J13</f>
        <v>51.972895999999992</v>
      </c>
      <c r="K14" s="73">
        <f t="shared" ref="K14:Q14" si="4">K11*K13</f>
        <v>56.31409</v>
      </c>
      <c r="L14" s="73">
        <f t="shared" si="4"/>
        <v>59.692935400000003</v>
      </c>
      <c r="M14" s="73">
        <f t="shared" si="4"/>
        <v>64.468370232000012</v>
      </c>
      <c r="N14" s="73">
        <f t="shared" si="4"/>
        <v>67.04710504128002</v>
      </c>
      <c r="O14" s="73">
        <f t="shared" si="4"/>
        <v>69.05851819251842</v>
      </c>
      <c r="P14" s="73">
        <f>P11*P13</f>
        <v>70.439688556368793</v>
      </c>
      <c r="Q14" s="73">
        <f t="shared" si="4"/>
        <v>71.496283884714316</v>
      </c>
    </row>
    <row r="15" spans="1:28" x14ac:dyDescent="0.35">
      <c r="A15" s="101">
        <v>0.25</v>
      </c>
      <c r="B15" s="4" t="s">
        <v>39</v>
      </c>
      <c r="C15" s="83">
        <v>10.837510000000002</v>
      </c>
      <c r="D15" s="83">
        <v>14.90901</v>
      </c>
      <c r="E15" s="83">
        <v>17.162016000000001</v>
      </c>
      <c r="F15" s="83">
        <v>19.344525000000001</v>
      </c>
      <c r="G15" s="73">
        <v>25.260808000000001</v>
      </c>
      <c r="H15" s="73">
        <v>30.543150000000001</v>
      </c>
      <c r="I15" s="73">
        <v>34.972710000000006</v>
      </c>
      <c r="J15" s="73">
        <v>39.890411999999998</v>
      </c>
      <c r="K15" s="73">
        <f t="shared" ref="K15:Q15" si="5">K14*(1-$A$15)</f>
        <v>42.235567500000002</v>
      </c>
      <c r="L15" s="73">
        <f t="shared" si="5"/>
        <v>44.769701550000001</v>
      </c>
      <c r="M15" s="73">
        <f t="shared" si="5"/>
        <v>48.351277674000009</v>
      </c>
      <c r="N15" s="73">
        <f t="shared" si="5"/>
        <v>50.285328780960015</v>
      </c>
      <c r="O15" s="73">
        <f t="shared" si="5"/>
        <v>51.793888644388815</v>
      </c>
      <c r="P15" s="73">
        <f>P14*(1-$A$15)</f>
        <v>52.829766417276595</v>
      </c>
      <c r="Q15" s="73">
        <f t="shared" si="5"/>
        <v>53.622212913535733</v>
      </c>
    </row>
    <row r="16" spans="1:28" ht="31.5" hidden="1" thickBot="1" x14ac:dyDescent="0.4">
      <c r="A16" s="13" t="s">
        <v>6</v>
      </c>
      <c r="B16" s="14"/>
      <c r="C16" s="15">
        <f t="shared" ref="C16:J16" si="6">C15/C14</f>
        <v>1.2677029360967187</v>
      </c>
      <c r="D16" s="15">
        <f t="shared" si="6"/>
        <v>1.1685823754789273</v>
      </c>
      <c r="E16" s="15">
        <f t="shared" si="6"/>
        <v>0.76381909547738691</v>
      </c>
      <c r="F16" s="15">
        <f t="shared" si="6"/>
        <v>0.70610687022900764</v>
      </c>
      <c r="G16" s="15">
        <f t="shared" si="6"/>
        <v>0.81339352896914974</v>
      </c>
      <c r="H16" s="15">
        <f t="shared" si="6"/>
        <v>0.77028795811518336</v>
      </c>
      <c r="I16" s="15">
        <f t="shared" si="6"/>
        <v>0.7447065940713854</v>
      </c>
      <c r="J16" s="15">
        <f t="shared" si="6"/>
        <v>0.76752336448598135</v>
      </c>
    </row>
    <row r="17" spans="1:18" x14ac:dyDescent="0.35">
      <c r="A17" s="2" t="s">
        <v>36</v>
      </c>
      <c r="C17" s="83"/>
      <c r="D17" s="83"/>
      <c r="E17" s="83"/>
      <c r="F17" s="83"/>
      <c r="G17" s="73">
        <f>G15/G18</f>
        <v>1.5788005000000001</v>
      </c>
      <c r="H17" s="73">
        <f t="shared" ref="H17:P17" si="7">H15/H18</f>
        <v>1.908946875</v>
      </c>
      <c r="I17" s="73">
        <f t="shared" si="7"/>
        <v>2.1857943750000004</v>
      </c>
      <c r="J17" s="73">
        <f t="shared" si="7"/>
        <v>2.4931507499999999</v>
      </c>
      <c r="K17" s="73">
        <f t="shared" si="7"/>
        <v>2.6397229687500001</v>
      </c>
      <c r="L17" s="73">
        <f t="shared" si="7"/>
        <v>2.798106346875</v>
      </c>
      <c r="M17" s="73">
        <f t="shared" si="7"/>
        <v>3.0219548546250006</v>
      </c>
      <c r="N17" s="73">
        <f t="shared" si="7"/>
        <v>3.1428330488100009</v>
      </c>
      <c r="O17" s="73">
        <f t="shared" si="7"/>
        <v>3.2371180402743009</v>
      </c>
      <c r="P17" s="73">
        <f t="shared" si="7"/>
        <v>3.3018604010797872</v>
      </c>
      <c r="Q17" s="73"/>
    </row>
    <row r="18" spans="1:18" ht="31.5" thickBot="1" x14ac:dyDescent="0.4">
      <c r="A18" s="2" t="s">
        <v>38</v>
      </c>
      <c r="C18" s="83"/>
      <c r="D18" s="83"/>
      <c r="E18" s="83"/>
      <c r="F18" s="83"/>
      <c r="G18" s="73">
        <f>C50</f>
        <v>16</v>
      </c>
      <c r="H18" s="73">
        <f>G18*1</f>
        <v>16</v>
      </c>
      <c r="I18" s="73">
        <f t="shared" ref="I18:P18" si="8">H18*1</f>
        <v>16</v>
      </c>
      <c r="J18" s="73">
        <f t="shared" si="8"/>
        <v>16</v>
      </c>
      <c r="K18" s="73">
        <f t="shared" si="8"/>
        <v>16</v>
      </c>
      <c r="L18" s="73">
        <f t="shared" si="8"/>
        <v>16</v>
      </c>
      <c r="M18" s="73">
        <f t="shared" si="8"/>
        <v>16</v>
      </c>
      <c r="N18" s="73">
        <f t="shared" si="8"/>
        <v>16</v>
      </c>
      <c r="O18" s="73">
        <f t="shared" si="8"/>
        <v>16</v>
      </c>
      <c r="P18" s="73">
        <f t="shared" si="8"/>
        <v>16</v>
      </c>
      <c r="Q18" s="73"/>
    </row>
    <row r="19" spans="1:18" ht="16" thickBot="1" x14ac:dyDescent="0.4">
      <c r="A19" s="2"/>
      <c r="E19" s="51" t="s">
        <v>12</v>
      </c>
      <c r="F19" s="52"/>
      <c r="G19" s="53">
        <f>G15/(1+$C$55)</f>
        <v>23.048182481751823</v>
      </c>
      <c r="H19" s="53">
        <f>H15/(1+$C$55)^2</f>
        <v>25.426859116095684</v>
      </c>
      <c r="I19" s="53">
        <f>I15/(1+$C$55)^3</f>
        <v>26.564254001200922</v>
      </c>
      <c r="J19" s="53">
        <f>J15/(1+$C$55)^4</f>
        <v>27.64561815944742</v>
      </c>
      <c r="K19" s="53">
        <f>K15/(1+$C$55)^5</f>
        <v>26.707028091865272</v>
      </c>
      <c r="L19" s="53">
        <f>L15/(1+$C$55)^6</f>
        <v>25.829789942862394</v>
      </c>
      <c r="M19" s="53">
        <f>M15/(1+$C$55)^7</f>
        <v>25.452712717419153</v>
      </c>
      <c r="N19" s="53">
        <f>N15/(1+$C$55)^8</f>
        <v>24.152209147915979</v>
      </c>
      <c r="O19" s="53">
        <f>O15/(1+$C$55)^9</f>
        <v>22.697787794118121</v>
      </c>
      <c r="P19" s="53">
        <f>P15/(1+$C$55)^10</f>
        <v>21.123853604015036</v>
      </c>
      <c r="Q19" s="54">
        <f>(Q15/(C55-Q12))/(1+C55)^10</f>
        <v>264.70014084043521</v>
      </c>
    </row>
    <row r="20" spans="1:18" x14ac:dyDescent="0.35">
      <c r="A20" s="2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6"/>
      <c r="P20" s="3"/>
      <c r="Q20" s="3"/>
      <c r="R20" s="3"/>
    </row>
    <row r="21" spans="1:18" x14ac:dyDescent="0.35">
      <c r="A21" s="2"/>
      <c r="J21" s="102"/>
      <c r="K21" s="102"/>
      <c r="L21" s="102"/>
      <c r="M21" s="102"/>
      <c r="N21" s="102"/>
      <c r="O21" s="102"/>
      <c r="P21" s="102"/>
      <c r="Q21" s="102"/>
      <c r="R21" s="3"/>
    </row>
    <row r="22" spans="1:18" ht="16" thickBot="1" x14ac:dyDescent="0.4">
      <c r="P22" s="3"/>
      <c r="Q22" s="3"/>
      <c r="R22" s="3"/>
    </row>
    <row r="23" spans="1:18" x14ac:dyDescent="0.35">
      <c r="A23" s="32" t="s">
        <v>24</v>
      </c>
      <c r="B23" s="33"/>
      <c r="C23" s="33"/>
      <c r="D23" s="34"/>
      <c r="E23" s="23"/>
      <c r="F23" s="33"/>
      <c r="G23" s="91" t="s">
        <v>25</v>
      </c>
      <c r="H23" s="92"/>
      <c r="I23" s="93">
        <v>3.7499999999999999E-2</v>
      </c>
      <c r="J23" s="24" t="s">
        <v>26</v>
      </c>
    </row>
    <row r="24" spans="1:18" x14ac:dyDescent="0.35">
      <c r="A24" s="35"/>
      <c r="B24" s="36"/>
      <c r="C24" s="36"/>
      <c r="D24" s="37"/>
      <c r="E24" s="36"/>
      <c r="F24" s="36"/>
      <c r="G24" s="94"/>
      <c r="H24" s="6"/>
      <c r="I24" s="95"/>
      <c r="J24" s="26"/>
    </row>
    <row r="25" spans="1:18" x14ac:dyDescent="0.35">
      <c r="A25" s="35"/>
      <c r="B25" s="36"/>
      <c r="C25" s="36"/>
      <c r="D25" s="38"/>
      <c r="F25" s="36"/>
      <c r="G25" s="94" t="s">
        <v>27</v>
      </c>
      <c r="H25" s="6"/>
      <c r="I25" s="96">
        <f>(I27-I23)*I29</f>
        <v>5.8500000000000017E-2</v>
      </c>
      <c r="J25" s="26"/>
    </row>
    <row r="26" spans="1:18" x14ac:dyDescent="0.35">
      <c r="A26" s="35"/>
      <c r="B26" s="36"/>
      <c r="C26" s="36"/>
      <c r="D26" s="38"/>
      <c r="F26" s="36"/>
      <c r="G26" s="94"/>
      <c r="H26" s="6"/>
      <c r="I26" s="95"/>
      <c r="J26" s="26"/>
    </row>
    <row r="27" spans="1:18" x14ac:dyDescent="0.35">
      <c r="A27" s="35"/>
      <c r="B27" s="36"/>
      <c r="C27" s="36"/>
      <c r="D27" s="38"/>
      <c r="F27" s="36"/>
      <c r="G27" s="94" t="s">
        <v>28</v>
      </c>
      <c r="H27" s="6"/>
      <c r="I27" s="97">
        <v>7.0000000000000007E-2</v>
      </c>
      <c r="J27" s="26" t="s">
        <v>29</v>
      </c>
    </row>
    <row r="28" spans="1:18" x14ac:dyDescent="0.35">
      <c r="A28" s="35"/>
      <c r="B28" s="36"/>
      <c r="C28" s="36"/>
      <c r="D28" s="39"/>
      <c r="F28" s="36"/>
      <c r="G28" s="94"/>
      <c r="H28" s="6"/>
      <c r="I28" s="95"/>
      <c r="J28" s="26"/>
    </row>
    <row r="29" spans="1:18" x14ac:dyDescent="0.35">
      <c r="A29" s="35"/>
      <c r="B29" s="36"/>
      <c r="C29" s="36"/>
      <c r="D29" s="39"/>
      <c r="F29" s="36"/>
      <c r="G29" s="94" t="s">
        <v>35</v>
      </c>
      <c r="H29" s="6"/>
      <c r="I29" s="80">
        <v>1.8</v>
      </c>
      <c r="J29" s="26" t="s">
        <v>30</v>
      </c>
    </row>
    <row r="30" spans="1:18" x14ac:dyDescent="0.35">
      <c r="A30" s="35"/>
      <c r="B30" s="36"/>
      <c r="C30" s="36"/>
      <c r="D30" s="40"/>
      <c r="F30" s="36"/>
      <c r="G30" s="94"/>
      <c r="H30" s="6"/>
      <c r="I30" s="95"/>
      <c r="J30" s="26"/>
    </row>
    <row r="31" spans="1:18" x14ac:dyDescent="0.35">
      <c r="A31" s="35"/>
      <c r="B31" s="36"/>
      <c r="C31" s="36"/>
      <c r="D31" s="37"/>
      <c r="F31" s="36"/>
      <c r="G31" s="94" t="s">
        <v>31</v>
      </c>
      <c r="H31" s="6"/>
      <c r="I31" s="97">
        <f>I23+(I27-I23)*I29</f>
        <v>9.6000000000000016E-2</v>
      </c>
      <c r="J31" s="26" t="s">
        <v>32</v>
      </c>
    </row>
    <row r="32" spans="1:18" x14ac:dyDescent="0.35">
      <c r="A32" s="25"/>
      <c r="C32" s="41"/>
      <c r="E32" s="36"/>
      <c r="F32" s="36"/>
      <c r="G32" s="94"/>
      <c r="H32" s="6"/>
      <c r="I32" s="6"/>
      <c r="J32" s="26"/>
    </row>
    <row r="33" spans="1:10" x14ac:dyDescent="0.35">
      <c r="A33" s="25"/>
      <c r="G33" s="98" t="s">
        <v>34</v>
      </c>
      <c r="H33" s="99"/>
      <c r="I33" s="100">
        <f>I31</f>
        <v>9.6000000000000016E-2</v>
      </c>
      <c r="J33" s="26"/>
    </row>
    <row r="34" spans="1:10" x14ac:dyDescent="0.35">
      <c r="A34" s="35" t="s">
        <v>7</v>
      </c>
      <c r="B34" s="36"/>
      <c r="C34" s="42"/>
      <c r="D34" s="27"/>
      <c r="G34" s="94"/>
      <c r="H34" s="6"/>
      <c r="I34" s="6"/>
      <c r="J34" s="26"/>
    </row>
    <row r="35" spans="1:10" ht="15.75" hidden="1" customHeight="1" x14ac:dyDescent="0.35">
      <c r="A35" s="25"/>
      <c r="G35" s="25"/>
      <c r="J35" s="26"/>
    </row>
    <row r="36" spans="1:10" ht="15.75" hidden="1" customHeight="1" x14ac:dyDescent="0.3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35">
      <c r="A37" s="25"/>
      <c r="G37" s="25"/>
      <c r="J37" s="26"/>
    </row>
    <row r="38" spans="1:10" ht="15.75" hidden="1" customHeight="1" x14ac:dyDescent="0.35">
      <c r="A38" s="25"/>
      <c r="G38" s="25"/>
      <c r="J38" s="26"/>
    </row>
    <row r="39" spans="1:10" ht="15.75" hidden="1" customHeight="1" x14ac:dyDescent="0.35">
      <c r="A39" s="25"/>
      <c r="G39" s="25"/>
      <c r="J39" s="26"/>
    </row>
    <row r="40" spans="1:10" hidden="1" x14ac:dyDescent="0.3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3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3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3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3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35">
      <c r="A45" s="25"/>
      <c r="G45" s="25"/>
      <c r="J45" s="26"/>
    </row>
    <row r="46" spans="1:10" ht="16" thickBot="1" x14ac:dyDescent="0.4">
      <c r="A46" s="28"/>
      <c r="B46" s="29" t="s">
        <v>20</v>
      </c>
      <c r="C46" s="29"/>
      <c r="D46" s="44">
        <f>I33</f>
        <v>9.6000000000000016E-2</v>
      </c>
      <c r="E46" s="29"/>
      <c r="F46" s="29"/>
      <c r="G46" s="28"/>
      <c r="H46" s="29"/>
      <c r="I46" s="29"/>
      <c r="J46" s="30"/>
    </row>
    <row r="48" spans="1:10" x14ac:dyDescent="0.35">
      <c r="A48" s="16"/>
      <c r="B48" s="17"/>
      <c r="C48" s="84">
        <v>45053</v>
      </c>
      <c r="D48" s="18" t="s">
        <v>3</v>
      </c>
      <c r="E48" s="19"/>
      <c r="F48" s="20"/>
      <c r="G48" s="21"/>
      <c r="H48" s="21"/>
      <c r="I48" s="21"/>
    </row>
    <row r="49" spans="1:17" x14ac:dyDescent="0.35">
      <c r="A49" s="45" t="s">
        <v>0</v>
      </c>
      <c r="B49" s="46" t="s">
        <v>5</v>
      </c>
      <c r="C49" s="56">
        <f>C50*C51</f>
        <v>848</v>
      </c>
      <c r="D49" s="47">
        <f>SUM(G19:Q19)</f>
        <v>513.34843589712705</v>
      </c>
      <c r="E49" s="46" t="s">
        <v>48</v>
      </c>
    </row>
    <row r="50" spans="1:17" x14ac:dyDescent="0.35">
      <c r="A50" s="45"/>
      <c r="B50" s="46" t="s">
        <v>11</v>
      </c>
      <c r="C50" s="56">
        <v>16</v>
      </c>
      <c r="D50" s="56">
        <f>C50</f>
        <v>16</v>
      </c>
      <c r="E50" s="46"/>
    </row>
    <row r="51" spans="1:17" x14ac:dyDescent="0.35">
      <c r="A51" s="45"/>
      <c r="B51" s="46" t="s">
        <v>13</v>
      </c>
      <c r="C51" s="88">
        <v>53</v>
      </c>
      <c r="D51" s="56">
        <f>D49/(D50)</f>
        <v>32.08427724357044</v>
      </c>
      <c r="E51" s="46" t="s">
        <v>48</v>
      </c>
    </row>
    <row r="52" spans="1:17" x14ac:dyDescent="0.3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35">
      <c r="A53" s="45"/>
      <c r="B53" s="46" t="s">
        <v>14</v>
      </c>
      <c r="C53" s="46"/>
      <c r="D53" s="58">
        <f>IF(C51/D51-1&lt;0,0,C51/D51-1)</f>
        <v>0.65189945211002032</v>
      </c>
      <c r="E53" s="46"/>
    </row>
    <row r="54" spans="1:17" x14ac:dyDescent="0.35">
      <c r="A54" s="46"/>
      <c r="B54" s="46"/>
      <c r="C54" s="46"/>
      <c r="D54" s="48"/>
      <c r="E54" s="48"/>
    </row>
    <row r="55" spans="1:17" x14ac:dyDescent="0.35">
      <c r="A55" s="48" t="s">
        <v>19</v>
      </c>
      <c r="B55" s="46"/>
      <c r="C55" s="50">
        <f>D46</f>
        <v>9.6000000000000016E-2</v>
      </c>
      <c r="D55" s="49"/>
      <c r="E55" s="46"/>
      <c r="J55" s="71"/>
    </row>
    <row r="56" spans="1:17" x14ac:dyDescent="0.35">
      <c r="A56" s="48"/>
      <c r="B56" s="46"/>
      <c r="C56" s="50"/>
      <c r="D56" s="49"/>
      <c r="E56" s="46"/>
    </row>
    <row r="57" spans="1:17" hidden="1" x14ac:dyDescent="0.35">
      <c r="A57" s="48" t="s">
        <v>22</v>
      </c>
      <c r="B57" s="74">
        <v>0.108</v>
      </c>
      <c r="C57" s="50"/>
      <c r="D57" s="75">
        <f>SUM(H57:Q57)*1000</f>
        <v>422402.90640627325</v>
      </c>
      <c r="E57" s="46"/>
      <c r="F57" s="1" t="s">
        <v>23</v>
      </c>
      <c r="H57" s="1">
        <f>G15/(1+$B$57)</f>
        <v>22.798563176895307</v>
      </c>
      <c r="I57" s="1">
        <f>H15/(1+$B$57)^2</f>
        <v>24.879079292053845</v>
      </c>
      <c r="J57" s="1">
        <f>I15/(1+$B$57)^3</f>
        <v>25.710469387007098</v>
      </c>
      <c r="K57" s="1">
        <f>J15/(1+$B$57)^4</f>
        <v>26.467290265249698</v>
      </c>
      <c r="L57" s="1">
        <f>K15/(1+$B$57)^5</f>
        <v>25.291787952519552</v>
      </c>
      <c r="M57" s="1">
        <f>L15/(1+$B$57)^6</f>
        <v>24.196114828222672</v>
      </c>
      <c r="N57" s="1">
        <f>M15/(1+$B$57)^7</f>
        <v>23.584660662888528</v>
      </c>
      <c r="O57" s="1">
        <f>N15/(1+$B$57)^8</f>
        <v>22.137226614985615</v>
      </c>
      <c r="P57" s="1">
        <f>O15/(1+$B$57)^9</f>
        <v>20.578829795519116</v>
      </c>
      <c r="Q57" s="1">
        <f>(Q15/(B57-Q12))/(1+B57)^10</f>
        <v>206.7588844309318</v>
      </c>
    </row>
    <row r="58" spans="1:17" ht="16" thickBot="1" x14ac:dyDescent="0.4">
      <c r="A58" s="22"/>
      <c r="C58" s="66"/>
      <c r="D58" s="67"/>
    </row>
    <row r="59" spans="1:17" x14ac:dyDescent="0.35">
      <c r="A59" s="59" t="s">
        <v>42</v>
      </c>
      <c r="B59" s="23"/>
      <c r="C59" s="68">
        <v>18</v>
      </c>
      <c r="D59" s="23"/>
      <c r="E59" s="24"/>
    </row>
    <row r="60" spans="1:17" x14ac:dyDescent="0.35">
      <c r="A60" s="25" t="s">
        <v>21</v>
      </c>
      <c r="C60" s="69"/>
      <c r="E60" s="26"/>
    </row>
    <row r="61" spans="1:17" x14ac:dyDescent="0.35">
      <c r="A61" s="25"/>
      <c r="C61" s="69"/>
      <c r="E61" s="26"/>
    </row>
    <row r="62" spans="1:17" x14ac:dyDescent="0.35">
      <c r="A62" s="25" t="s">
        <v>37</v>
      </c>
      <c r="C62" s="69"/>
      <c r="E62" s="60">
        <f>P17*C59</f>
        <v>59.433487219436167</v>
      </c>
    </row>
    <row r="63" spans="1:17" x14ac:dyDescent="0.35">
      <c r="A63" s="25"/>
      <c r="C63" s="69"/>
      <c r="E63" s="26"/>
    </row>
    <row r="64" spans="1:17" x14ac:dyDescent="0.35">
      <c r="A64" s="25" t="s">
        <v>17</v>
      </c>
      <c r="C64" s="70">
        <v>0.1</v>
      </c>
      <c r="E64" s="26"/>
    </row>
    <row r="65" spans="1:5" x14ac:dyDescent="0.35">
      <c r="A65" s="25"/>
      <c r="E65" s="26"/>
    </row>
    <row r="66" spans="1:5" x14ac:dyDescent="0.35">
      <c r="A66" s="25" t="s">
        <v>18</v>
      </c>
      <c r="E66" s="60">
        <f>SUM(G17:Q17)*C64</f>
        <v>2.6308288160414088</v>
      </c>
    </row>
    <row r="67" spans="1:5" x14ac:dyDescent="0.35">
      <c r="A67" s="25"/>
      <c r="E67" s="61"/>
    </row>
    <row r="68" spans="1:5" x14ac:dyDescent="0.35">
      <c r="A68" s="104" t="s">
        <v>46</v>
      </c>
      <c r="E68" s="62">
        <f>(E66*0.25)*-1</f>
        <v>-0.65770720401035221</v>
      </c>
    </row>
    <row r="69" spans="1:5" x14ac:dyDescent="0.35">
      <c r="A69" s="25"/>
      <c r="C69" s="41"/>
      <c r="D69" s="41"/>
      <c r="E69" s="63"/>
    </row>
    <row r="70" spans="1:5" x14ac:dyDescent="0.35">
      <c r="A70" s="25" t="s">
        <v>43</v>
      </c>
      <c r="E70" s="60">
        <f>SUM(E62:E68)</f>
        <v>61.406608831467224</v>
      </c>
    </row>
    <row r="71" spans="1:5" x14ac:dyDescent="0.35">
      <c r="A71" s="25"/>
      <c r="E71" s="60"/>
    </row>
    <row r="72" spans="1:5" x14ac:dyDescent="0.35">
      <c r="A72" s="25" t="s">
        <v>44</v>
      </c>
      <c r="E72" s="63">
        <f>E70/C51-1</f>
        <v>0.15861526097107981</v>
      </c>
    </row>
    <row r="73" spans="1:5" x14ac:dyDescent="0.35">
      <c r="A73" s="25"/>
      <c r="E73" s="26"/>
    </row>
    <row r="74" spans="1:5" ht="16" thickBot="1" x14ac:dyDescent="0.4">
      <c r="A74" s="64" t="s">
        <v>45</v>
      </c>
      <c r="B74" s="65"/>
      <c r="C74" s="65"/>
      <c r="D74" s="65"/>
      <c r="E74" s="103">
        <f>(E70/C51)^(1/10)-1</f>
        <v>1.4831465789684417E-2</v>
      </c>
    </row>
  </sheetData>
  <conditionalFormatting sqref="L6:L8">
    <cfRule type="top10" dxfId="11" priority="6" percent="1" rank="10"/>
  </conditionalFormatting>
  <conditionalFormatting sqref="G6:J8">
    <cfRule type="top10" dxfId="10" priority="5" percent="1" rank="10"/>
  </conditionalFormatting>
  <conditionalFormatting sqref="K9">
    <cfRule type="top10" dxfId="9" priority="4" percent="1" rank="10"/>
  </conditionalFormatting>
  <conditionalFormatting sqref="L2:L5">
    <cfRule type="top10" dxfId="8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opLeftCell="A51" zoomScaleNormal="100" workbookViewId="0">
      <selection activeCell="C60" sqref="C60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17" width="16.25" style="1" customWidth="1"/>
    <col min="18" max="18" width="10.58203125" style="1" customWidth="1"/>
    <col min="19" max="16384" width="10.58203125" style="1"/>
  </cols>
  <sheetData>
    <row r="2" spans="1:28" ht="26" x14ac:dyDescent="0.6">
      <c r="B2" s="31" t="s">
        <v>10</v>
      </c>
    </row>
    <row r="4" spans="1:28" x14ac:dyDescent="0.35">
      <c r="B4" s="22" t="s">
        <v>47</v>
      </c>
    </row>
    <row r="6" spans="1:28" x14ac:dyDescent="0.35">
      <c r="B6" s="1" t="s">
        <v>33</v>
      </c>
    </row>
    <row r="9" spans="1:28" s="8" customFormat="1" x14ac:dyDescent="0.3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35">
      <c r="A11" s="5"/>
      <c r="B11" s="4" t="s">
        <v>4</v>
      </c>
      <c r="C11" s="83">
        <v>147.65</v>
      </c>
      <c r="D11" s="83">
        <v>162.94</v>
      </c>
      <c r="E11" s="83">
        <v>188.18</v>
      </c>
      <c r="F11" s="83">
        <v>209.13</v>
      </c>
      <c r="G11" s="73">
        <v>233.68</v>
      </c>
      <c r="H11" s="73">
        <v>259.5</v>
      </c>
      <c r="I11" s="73">
        <v>284.10000000000002</v>
      </c>
      <c r="J11" s="73">
        <v>303.58</v>
      </c>
      <c r="K11" s="73">
        <f t="shared" ref="K11" si="0">J11*(1+K12)</f>
        <v>327.8664</v>
      </c>
      <c r="L11" s="73">
        <f t="shared" ref="L11:Q11" si="1">K11*(1+L12)</f>
        <v>352.45637999999997</v>
      </c>
      <c r="M11" s="73">
        <f t="shared" si="1"/>
        <v>377.12832659999998</v>
      </c>
      <c r="N11" s="73">
        <f t="shared" si="1"/>
        <v>401.64166782899997</v>
      </c>
      <c r="O11" s="73">
        <f t="shared" si="1"/>
        <v>423.73195955959494</v>
      </c>
      <c r="P11" s="73">
        <f t="shared" si="1"/>
        <v>440.68123794197874</v>
      </c>
      <c r="Q11" s="73">
        <f t="shared" si="1"/>
        <v>449.49486270081832</v>
      </c>
    </row>
    <row r="12" spans="1:28" x14ac:dyDescent="0.35">
      <c r="A12" s="5"/>
      <c r="B12" s="4" t="s">
        <v>1</v>
      </c>
      <c r="C12" s="90"/>
      <c r="D12" s="90">
        <f t="shared" ref="D12:J12" si="2">D11/C11-1</f>
        <v>0.10355570606163211</v>
      </c>
      <c r="E12" s="90">
        <f t="shared" si="2"/>
        <v>0.15490364551368607</v>
      </c>
      <c r="F12" s="90">
        <f t="shared" si="2"/>
        <v>0.11132957806355614</v>
      </c>
      <c r="G12" s="86">
        <f t="shared" si="2"/>
        <v>0.11739109644718604</v>
      </c>
      <c r="H12" s="86">
        <f t="shared" si="2"/>
        <v>0.11049298185552892</v>
      </c>
      <c r="I12" s="86">
        <f t="shared" si="2"/>
        <v>9.479768786127174E-2</v>
      </c>
      <c r="J12" s="86">
        <f t="shared" si="2"/>
        <v>6.8567405843012796E-2</v>
      </c>
      <c r="K12" s="86">
        <v>0.08</v>
      </c>
      <c r="L12" s="72">
        <v>7.4999999999999997E-2</v>
      </c>
      <c r="M12" s="72">
        <v>7.0000000000000007E-2</v>
      </c>
      <c r="N12" s="72">
        <v>6.5000000000000002E-2</v>
      </c>
      <c r="O12" s="72">
        <v>5.5E-2</v>
      </c>
      <c r="P12" s="72">
        <v>0.04</v>
      </c>
      <c r="Q12" s="12">
        <v>0.02</v>
      </c>
    </row>
    <row r="13" spans="1:28" ht="16" customHeight="1" x14ac:dyDescent="0.35">
      <c r="A13" s="5"/>
      <c r="B13" s="4" t="s">
        <v>15</v>
      </c>
      <c r="C13" s="89">
        <v>5.79E-2</v>
      </c>
      <c r="D13" s="89">
        <v>7.8299999999999995E-2</v>
      </c>
      <c r="E13" s="89">
        <v>0.11940000000000001</v>
      </c>
      <c r="F13" s="89">
        <v>0.13100000000000001</v>
      </c>
      <c r="G13" s="85">
        <v>0.13289999999999999</v>
      </c>
      <c r="H13" s="85">
        <v>0.15279999999999999</v>
      </c>
      <c r="I13" s="85">
        <v>0.1653</v>
      </c>
      <c r="J13" s="85">
        <v>0.17119999999999999</v>
      </c>
      <c r="K13" s="85">
        <v>0.1777</v>
      </c>
      <c r="L13" s="85">
        <v>0.18</v>
      </c>
      <c r="M13" s="85">
        <v>0.19</v>
      </c>
      <c r="N13" s="85">
        <v>0.2</v>
      </c>
      <c r="O13" s="85">
        <v>0.21</v>
      </c>
      <c r="P13" s="85">
        <v>0.22</v>
      </c>
      <c r="Q13" s="85">
        <v>0.22</v>
      </c>
    </row>
    <row r="14" spans="1:28" ht="17.149999999999999" customHeight="1" x14ac:dyDescent="0.35">
      <c r="A14" s="5"/>
      <c r="B14" s="4" t="s">
        <v>16</v>
      </c>
      <c r="C14" s="83">
        <f>C11*C13</f>
        <v>8.5489350000000002</v>
      </c>
      <c r="D14" s="83">
        <f t="shared" ref="D14:J14" si="3">D11*D13</f>
        <v>12.758201999999999</v>
      </c>
      <c r="E14" s="83">
        <f t="shared" si="3"/>
        <v>22.468692000000001</v>
      </c>
      <c r="F14" s="83">
        <f t="shared" si="3"/>
        <v>27.39603</v>
      </c>
      <c r="G14" s="73">
        <f t="shared" si="3"/>
        <v>31.056072</v>
      </c>
      <c r="H14" s="73">
        <f t="shared" si="3"/>
        <v>39.651599999999995</v>
      </c>
      <c r="I14" s="73">
        <f t="shared" si="3"/>
        <v>46.961730000000003</v>
      </c>
      <c r="J14" s="73">
        <f t="shared" si="3"/>
        <v>51.972895999999992</v>
      </c>
      <c r="K14" s="73">
        <f t="shared" ref="K14:Q14" si="4">K11*K13</f>
        <v>58.261859279999996</v>
      </c>
      <c r="L14" s="73">
        <f t="shared" si="4"/>
        <v>63.442148399999994</v>
      </c>
      <c r="M14" s="73">
        <f t="shared" si="4"/>
        <v>71.654382053999996</v>
      </c>
      <c r="N14" s="73">
        <f t="shared" si="4"/>
        <v>80.328333565799994</v>
      </c>
      <c r="O14" s="73">
        <f>O11*O13</f>
        <v>88.98371150751494</v>
      </c>
      <c r="P14" s="73">
        <f t="shared" si="4"/>
        <v>96.949872347235328</v>
      </c>
      <c r="Q14" s="73">
        <f t="shared" si="4"/>
        <v>98.888869794180025</v>
      </c>
    </row>
    <row r="15" spans="1:28" x14ac:dyDescent="0.35">
      <c r="A15" s="101">
        <v>0.2</v>
      </c>
      <c r="B15" s="4" t="s">
        <v>39</v>
      </c>
      <c r="C15" s="83">
        <v>10.837510000000002</v>
      </c>
      <c r="D15" s="83">
        <v>14.90901</v>
      </c>
      <c r="E15" s="83">
        <v>17.162016000000001</v>
      </c>
      <c r="F15" s="83">
        <v>19.344525000000001</v>
      </c>
      <c r="G15" s="73">
        <v>25.260808000000001</v>
      </c>
      <c r="H15" s="73">
        <v>30.543150000000001</v>
      </c>
      <c r="I15" s="73">
        <v>34.972710000000006</v>
      </c>
      <c r="J15" s="73">
        <v>39.890411999999998</v>
      </c>
      <c r="K15" s="73">
        <f t="shared" ref="K15:Q15" si="5">K14*(1-$A$15)</f>
        <v>46.609487424000001</v>
      </c>
      <c r="L15" s="73">
        <f t="shared" si="5"/>
        <v>50.753718719999995</v>
      </c>
      <c r="M15" s="73">
        <f t="shared" si="5"/>
        <v>57.323505643200001</v>
      </c>
      <c r="N15" s="73">
        <f t="shared" si="5"/>
        <v>64.262666852639995</v>
      </c>
      <c r="O15" s="73">
        <f>O14*(1-$A$15)</f>
        <v>71.186969206011952</v>
      </c>
      <c r="P15" s="73">
        <f t="shared" si="5"/>
        <v>77.559897877788273</v>
      </c>
      <c r="Q15" s="73">
        <f t="shared" si="5"/>
        <v>79.111095835344031</v>
      </c>
    </row>
    <row r="16" spans="1:28" ht="31.5" hidden="1" thickBot="1" x14ac:dyDescent="0.4">
      <c r="A16" s="13" t="s">
        <v>6</v>
      </c>
      <c r="B16" s="14"/>
      <c r="C16" s="15">
        <f t="shared" ref="C16:J16" si="6">C15/C14</f>
        <v>1.2677029360967187</v>
      </c>
      <c r="D16" s="15">
        <f t="shared" si="6"/>
        <v>1.1685823754789273</v>
      </c>
      <c r="E16" s="15">
        <f t="shared" si="6"/>
        <v>0.76381909547738691</v>
      </c>
      <c r="F16" s="15">
        <f t="shared" si="6"/>
        <v>0.70610687022900764</v>
      </c>
      <c r="G16" s="15">
        <f t="shared" si="6"/>
        <v>0.81339352896914974</v>
      </c>
      <c r="H16" s="15">
        <f t="shared" si="6"/>
        <v>0.77028795811518336</v>
      </c>
      <c r="I16" s="15">
        <f t="shared" si="6"/>
        <v>0.7447065940713854</v>
      </c>
      <c r="J16" s="15">
        <f t="shared" si="6"/>
        <v>0.76752336448598135</v>
      </c>
    </row>
    <row r="17" spans="1:18" x14ac:dyDescent="0.35">
      <c r="A17" s="2" t="s">
        <v>36</v>
      </c>
      <c r="C17" s="83"/>
      <c r="D17" s="83"/>
      <c r="E17" s="83"/>
      <c r="F17" s="83"/>
      <c r="G17" s="73">
        <f>G15/G18</f>
        <v>1.5788005000000001</v>
      </c>
      <c r="H17" s="73">
        <f>H15/H18</f>
        <v>1.908946875</v>
      </c>
      <c r="I17" s="73">
        <f t="shared" ref="I17:O17" si="7">I15/I18</f>
        <v>2.1857943750000004</v>
      </c>
      <c r="J17" s="73">
        <f>J15/J18</f>
        <v>2.4931507499999999</v>
      </c>
      <c r="K17" s="73">
        <f t="shared" si="7"/>
        <v>2.9130929640000001</v>
      </c>
      <c r="L17" s="73">
        <f t="shared" si="7"/>
        <v>3.1721074199999997</v>
      </c>
      <c r="M17" s="73">
        <f t="shared" si="7"/>
        <v>3.5827191027</v>
      </c>
      <c r="N17" s="73">
        <f t="shared" si="7"/>
        <v>4.0164166782899997</v>
      </c>
      <c r="O17" s="73">
        <f t="shared" si="7"/>
        <v>4.449185575375747</v>
      </c>
      <c r="P17" s="73">
        <f>P15/P18</f>
        <v>4.8474936173617671</v>
      </c>
      <c r="Q17" s="73"/>
    </row>
    <row r="18" spans="1:18" ht="31.5" thickBot="1" x14ac:dyDescent="0.4">
      <c r="A18" s="2" t="s">
        <v>38</v>
      </c>
      <c r="C18" s="83"/>
      <c r="D18" s="83"/>
      <c r="E18" s="83"/>
      <c r="F18" s="83"/>
      <c r="G18" s="73">
        <f>C50</f>
        <v>16</v>
      </c>
      <c r="H18" s="73">
        <f>G18*1</f>
        <v>16</v>
      </c>
      <c r="I18" s="73">
        <f t="shared" ref="I18:P18" si="8">H18*1</f>
        <v>16</v>
      </c>
      <c r="J18" s="73">
        <f t="shared" si="8"/>
        <v>16</v>
      </c>
      <c r="K18" s="73">
        <f t="shared" si="8"/>
        <v>16</v>
      </c>
      <c r="L18" s="73">
        <f t="shared" si="8"/>
        <v>16</v>
      </c>
      <c r="M18" s="73">
        <f t="shared" si="8"/>
        <v>16</v>
      </c>
      <c r="N18" s="73">
        <f t="shared" si="8"/>
        <v>16</v>
      </c>
      <c r="O18" s="73">
        <f t="shared" si="8"/>
        <v>16</v>
      </c>
      <c r="P18" s="73">
        <f t="shared" si="8"/>
        <v>16</v>
      </c>
      <c r="Q18" s="73"/>
    </row>
    <row r="19" spans="1:18" ht="16" thickBot="1" x14ac:dyDescent="0.4">
      <c r="A19" s="2"/>
      <c r="E19" s="51" t="s">
        <v>12</v>
      </c>
      <c r="F19" s="52"/>
      <c r="G19" s="53">
        <f>G15/(1+$C$55)</f>
        <v>23.048182481751823</v>
      </c>
      <c r="H19" s="53">
        <f>H15/(1+$C$55)^2</f>
        <v>25.426859116095684</v>
      </c>
      <c r="I19" s="53">
        <f>I15/(1+$C$55)^3</f>
        <v>26.564254001200922</v>
      </c>
      <c r="J19" s="53">
        <f>J15/(1+$C$55)^4</f>
        <v>27.64561815944742</v>
      </c>
      <c r="K19" s="53">
        <f>K15/(1+$C$55)^5</f>
        <v>29.472810800522783</v>
      </c>
      <c r="L19" s="53">
        <f>L15/(1+$C$55)^6</f>
        <v>29.282256704182178</v>
      </c>
      <c r="M19" s="53">
        <f>M15/(1+$C$55)^7</f>
        <v>30.175804886254245</v>
      </c>
      <c r="N19" s="53">
        <f>N15/(1+$C$55)^8</f>
        <v>30.865570691376064</v>
      </c>
      <c r="O19" s="53">
        <f>O15/(1+$C$55)^9</f>
        <v>31.196474391762621</v>
      </c>
      <c r="P19" s="53">
        <f>P15/(1+$C$55)^10</f>
        <v>31.012136517358741</v>
      </c>
      <c r="Q19" s="54">
        <f>(Q15/(C55-Q12))/(1+C55)^10</f>
        <v>416.21551641718298</v>
      </c>
    </row>
    <row r="20" spans="1:18" x14ac:dyDescent="0.35">
      <c r="A20" s="2"/>
      <c r="C20" s="76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35">
      <c r="A21" s="2"/>
      <c r="J21" s="102"/>
      <c r="K21" s="102"/>
      <c r="L21" s="102"/>
      <c r="M21" s="102"/>
      <c r="N21" s="102"/>
      <c r="O21" s="102"/>
      <c r="P21" s="102"/>
      <c r="Q21" s="102"/>
      <c r="R21" s="3"/>
    </row>
    <row r="22" spans="1:18" ht="16" thickBot="1" x14ac:dyDescent="0.4">
      <c r="P22" s="3"/>
      <c r="Q22" s="3"/>
      <c r="R22" s="3"/>
    </row>
    <row r="23" spans="1:18" x14ac:dyDescent="0.3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9">
        <v>3.7499999999999999E-2</v>
      </c>
      <c r="J23" s="24" t="s">
        <v>26</v>
      </c>
    </row>
    <row r="24" spans="1:18" x14ac:dyDescent="0.35">
      <c r="A24" s="35"/>
      <c r="B24" s="36"/>
      <c r="C24" s="36"/>
      <c r="D24" s="37"/>
      <c r="E24" s="36"/>
      <c r="F24" s="36"/>
      <c r="G24" s="25"/>
      <c r="I24" s="80"/>
      <c r="J24" s="26"/>
    </row>
    <row r="25" spans="1:18" x14ac:dyDescent="0.35">
      <c r="A25" s="35"/>
      <c r="B25" s="36"/>
      <c r="C25" s="36"/>
      <c r="D25" s="38"/>
      <c r="F25" s="36"/>
      <c r="G25" s="25" t="s">
        <v>27</v>
      </c>
      <c r="I25" s="81">
        <f>(I27-I23)*I29</f>
        <v>5.8500000000000017E-2</v>
      </c>
      <c r="J25" s="26"/>
    </row>
    <row r="26" spans="1:18" x14ac:dyDescent="0.35">
      <c r="A26" s="35"/>
      <c r="B26" s="36"/>
      <c r="C26" s="36"/>
      <c r="D26" s="38"/>
      <c r="F26" s="36"/>
      <c r="G26" s="25"/>
      <c r="I26" s="80"/>
      <c r="J26" s="26"/>
    </row>
    <row r="27" spans="1:18" x14ac:dyDescent="0.35">
      <c r="A27" s="35"/>
      <c r="B27" s="36"/>
      <c r="C27" s="36"/>
      <c r="D27" s="38"/>
      <c r="F27" s="36"/>
      <c r="G27" s="25" t="s">
        <v>28</v>
      </c>
      <c r="I27" s="82">
        <v>7.0000000000000007E-2</v>
      </c>
      <c r="J27" s="26" t="s">
        <v>29</v>
      </c>
    </row>
    <row r="28" spans="1:18" x14ac:dyDescent="0.35">
      <c r="A28" s="35"/>
      <c r="B28" s="36"/>
      <c r="C28" s="36"/>
      <c r="D28" s="39"/>
      <c r="F28" s="36"/>
      <c r="G28" s="25"/>
      <c r="I28" s="80"/>
      <c r="J28" s="26"/>
    </row>
    <row r="29" spans="1:18" x14ac:dyDescent="0.35">
      <c r="A29" s="35"/>
      <c r="B29" s="36"/>
      <c r="C29" s="36"/>
      <c r="D29" s="39"/>
      <c r="F29" s="36"/>
      <c r="G29" s="25" t="s">
        <v>35</v>
      </c>
      <c r="I29" s="80">
        <v>1.8</v>
      </c>
      <c r="J29" s="26" t="s">
        <v>30</v>
      </c>
    </row>
    <row r="30" spans="1:18" x14ac:dyDescent="0.35">
      <c r="A30" s="35"/>
      <c r="B30" s="36"/>
      <c r="C30" s="36"/>
      <c r="D30" s="40"/>
      <c r="F30" s="36"/>
      <c r="G30" s="25"/>
      <c r="I30" s="80"/>
      <c r="J30" s="26"/>
    </row>
    <row r="31" spans="1:18" x14ac:dyDescent="0.35">
      <c r="A31" s="35"/>
      <c r="B31" s="36"/>
      <c r="C31" s="36"/>
      <c r="D31" s="37"/>
      <c r="F31" s="36"/>
      <c r="G31" s="25" t="s">
        <v>31</v>
      </c>
      <c r="I31" s="82">
        <f>I23+(I27-I23)*I29</f>
        <v>9.6000000000000016E-2</v>
      </c>
      <c r="J31" s="26" t="s">
        <v>32</v>
      </c>
    </row>
    <row r="32" spans="1:18" x14ac:dyDescent="0.35">
      <c r="A32" s="25"/>
      <c r="C32" s="41"/>
      <c r="E32" s="36"/>
      <c r="F32" s="36"/>
      <c r="G32" s="25"/>
      <c r="J32" s="26"/>
    </row>
    <row r="33" spans="1:10" x14ac:dyDescent="0.35">
      <c r="A33" s="25"/>
      <c r="G33" s="77" t="s">
        <v>34</v>
      </c>
      <c r="H33" s="22"/>
      <c r="I33" s="78">
        <f>I31</f>
        <v>9.6000000000000016E-2</v>
      </c>
      <c r="J33" s="26"/>
    </row>
    <row r="34" spans="1:10" x14ac:dyDescent="0.3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35">
      <c r="A35" s="25"/>
      <c r="G35" s="25"/>
      <c r="J35" s="26"/>
    </row>
    <row r="36" spans="1:10" ht="15.75" hidden="1" customHeight="1" x14ac:dyDescent="0.3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35">
      <c r="A37" s="25"/>
      <c r="G37" s="25"/>
      <c r="J37" s="26"/>
    </row>
    <row r="38" spans="1:10" ht="15.75" hidden="1" customHeight="1" x14ac:dyDescent="0.35">
      <c r="A38" s="25"/>
      <c r="G38" s="25"/>
      <c r="J38" s="26"/>
    </row>
    <row r="39" spans="1:10" ht="15.75" hidden="1" customHeight="1" x14ac:dyDescent="0.35">
      <c r="A39" s="25"/>
      <c r="G39" s="25"/>
      <c r="J39" s="26"/>
    </row>
    <row r="40" spans="1:10" hidden="1" x14ac:dyDescent="0.3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3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3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3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3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35">
      <c r="A45" s="25"/>
      <c r="G45" s="25"/>
      <c r="J45" s="26"/>
    </row>
    <row r="46" spans="1:10" ht="16" thickBot="1" x14ac:dyDescent="0.4">
      <c r="A46" s="28"/>
      <c r="B46" s="29" t="s">
        <v>20</v>
      </c>
      <c r="C46" s="29"/>
      <c r="D46" s="44">
        <f>I33</f>
        <v>9.6000000000000016E-2</v>
      </c>
      <c r="E46" s="29"/>
      <c r="F46" s="29"/>
      <c r="G46" s="28"/>
      <c r="H46" s="29"/>
      <c r="I46" s="29"/>
      <c r="J46" s="30"/>
    </row>
    <row r="48" spans="1:10" x14ac:dyDescent="0.35">
      <c r="A48" s="16"/>
      <c r="B48" s="17"/>
      <c r="C48" s="84">
        <v>45053</v>
      </c>
      <c r="D48" s="18" t="s">
        <v>3</v>
      </c>
      <c r="E48" s="19"/>
      <c r="F48" s="20"/>
      <c r="G48" s="21"/>
      <c r="H48" s="21"/>
      <c r="I48" s="21"/>
    </row>
    <row r="49" spans="1:17" x14ac:dyDescent="0.35">
      <c r="A49" s="45" t="s">
        <v>0</v>
      </c>
      <c r="B49" s="46" t="s">
        <v>5</v>
      </c>
      <c r="C49" s="56">
        <f>C50*C51</f>
        <v>848</v>
      </c>
      <c r="D49" s="47">
        <f>SUM(G19:Q19)</f>
        <v>700.90548416713546</v>
      </c>
      <c r="E49" s="46" t="s">
        <v>48</v>
      </c>
    </row>
    <row r="50" spans="1:17" x14ac:dyDescent="0.35">
      <c r="A50" s="45"/>
      <c r="B50" s="46" t="s">
        <v>11</v>
      </c>
      <c r="C50" s="56">
        <v>16</v>
      </c>
      <c r="D50" s="56">
        <f>C50</f>
        <v>16</v>
      </c>
      <c r="E50" s="46"/>
    </row>
    <row r="51" spans="1:17" x14ac:dyDescent="0.35">
      <c r="A51" s="45"/>
      <c r="B51" s="46" t="s">
        <v>13</v>
      </c>
      <c r="C51" s="88">
        <v>53</v>
      </c>
      <c r="D51" s="56">
        <f>D49/(D50)</f>
        <v>43.806592760445966</v>
      </c>
      <c r="E51" s="46" t="s">
        <v>48</v>
      </c>
    </row>
    <row r="52" spans="1:17" x14ac:dyDescent="0.3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35">
      <c r="A53" s="45"/>
      <c r="B53" s="46" t="s">
        <v>14</v>
      </c>
      <c r="C53" s="46"/>
      <c r="D53" s="58">
        <f>IF(C51/D51-1&lt;0,0,C51/D51-1)</f>
        <v>0.20986355386796895</v>
      </c>
      <c r="E53" s="46"/>
    </row>
    <row r="54" spans="1:17" x14ac:dyDescent="0.35">
      <c r="A54" s="46"/>
      <c r="B54" s="46"/>
      <c r="C54" s="46"/>
      <c r="D54" s="48"/>
      <c r="E54" s="48"/>
    </row>
    <row r="55" spans="1:17" x14ac:dyDescent="0.35">
      <c r="A55" s="48" t="s">
        <v>19</v>
      </c>
      <c r="B55" s="46"/>
      <c r="C55" s="50">
        <f>D46</f>
        <v>9.6000000000000016E-2</v>
      </c>
      <c r="D55" s="49"/>
      <c r="E55" s="46"/>
      <c r="J55" s="71"/>
    </row>
    <row r="56" spans="1:17" x14ac:dyDescent="0.35">
      <c r="A56" s="48"/>
      <c r="B56" s="46"/>
      <c r="C56" s="50"/>
      <c r="D56" s="49"/>
      <c r="E56" s="46"/>
    </row>
    <row r="57" spans="1:17" hidden="1" x14ac:dyDescent="0.35">
      <c r="A57" s="48" t="s">
        <v>22</v>
      </c>
      <c r="B57" s="74">
        <v>0.108</v>
      </c>
      <c r="C57" s="50"/>
      <c r="D57" s="75">
        <f>SUM(H57:Q57)*1000</f>
        <v>562104.2232389854</v>
      </c>
      <c r="E57" s="46"/>
      <c r="F57" s="1" t="s">
        <v>23</v>
      </c>
      <c r="H57" s="1">
        <f>G15/(1+$B$57)</f>
        <v>22.798563176895307</v>
      </c>
      <c r="I57" s="1">
        <f>H15/(1+$B$57)^2</f>
        <v>24.879079292053845</v>
      </c>
      <c r="J57" s="1">
        <f>I15/(1+$B$57)^3</f>
        <v>25.710469387007098</v>
      </c>
      <c r="K57" s="1">
        <f>J15/(1+$B$57)^4</f>
        <v>26.467290265249698</v>
      </c>
      <c r="L57" s="1">
        <f>K15/(1+$B$57)^5</f>
        <v>27.911008239759884</v>
      </c>
      <c r="M57" s="1">
        <f>L15/(1+$B$57)^6</f>
        <v>27.430220966224745</v>
      </c>
      <c r="N57" s="1">
        <f>M15/(1+$B$57)^7</f>
        <v>27.961110722189588</v>
      </c>
      <c r="O57" s="1">
        <f>N15/(1+$B$57)^8</f>
        <v>28.290502488249949</v>
      </c>
      <c r="P57" s="1">
        <f>O15/(1+$B$57)^9</f>
        <v>28.284119252128949</v>
      </c>
      <c r="Q57" s="1">
        <f>(Q15/(B57-Q12))/(1+B57)^10</f>
        <v>322.37185944922629</v>
      </c>
    </row>
    <row r="58" spans="1:17" ht="16" thickBot="1" x14ac:dyDescent="0.4">
      <c r="A58" s="22"/>
      <c r="C58" s="66"/>
      <c r="D58" s="67"/>
    </row>
    <row r="59" spans="1:17" x14ac:dyDescent="0.35">
      <c r="A59" s="59" t="s">
        <v>42</v>
      </c>
      <c r="B59" s="23"/>
      <c r="C59" s="68">
        <v>30</v>
      </c>
      <c r="D59" s="23"/>
      <c r="E59" s="24"/>
    </row>
    <row r="60" spans="1:17" x14ac:dyDescent="0.35">
      <c r="A60" s="25" t="s">
        <v>21</v>
      </c>
      <c r="C60" s="69" t="s">
        <v>40</v>
      </c>
      <c r="E60" s="26"/>
    </row>
    <row r="61" spans="1:17" x14ac:dyDescent="0.35">
      <c r="A61" s="25"/>
      <c r="C61" s="69"/>
      <c r="E61" s="26"/>
    </row>
    <row r="62" spans="1:17" x14ac:dyDescent="0.35">
      <c r="A62" s="25" t="s">
        <v>37</v>
      </c>
      <c r="C62" s="69"/>
      <c r="E62" s="60">
        <f>P17*C59</f>
        <v>145.42480852085302</v>
      </c>
    </row>
    <row r="63" spans="1:17" x14ac:dyDescent="0.35">
      <c r="A63" s="25"/>
      <c r="C63" s="69"/>
      <c r="E63" s="26"/>
    </row>
    <row r="64" spans="1:17" x14ac:dyDescent="0.35">
      <c r="A64" s="25" t="s">
        <v>17</v>
      </c>
      <c r="C64" s="70">
        <v>0.15</v>
      </c>
      <c r="E64" s="26"/>
    </row>
    <row r="65" spans="1:5" x14ac:dyDescent="0.35">
      <c r="A65" s="25"/>
      <c r="E65" s="26"/>
    </row>
    <row r="66" spans="1:5" x14ac:dyDescent="0.35">
      <c r="A66" s="25" t="s">
        <v>18</v>
      </c>
      <c r="E66" s="60">
        <f>SUM(G17:Q17)*C64</f>
        <v>4.6721561786591268</v>
      </c>
    </row>
    <row r="67" spans="1:5" x14ac:dyDescent="0.35">
      <c r="A67" s="25"/>
      <c r="E67" s="61"/>
    </row>
    <row r="68" spans="1:5" x14ac:dyDescent="0.35">
      <c r="A68" s="104" t="s">
        <v>46</v>
      </c>
      <c r="E68" s="62">
        <f>(E66*0.25)*-1</f>
        <v>-1.1680390446647817</v>
      </c>
    </row>
    <row r="69" spans="1:5" x14ac:dyDescent="0.35">
      <c r="A69" s="25"/>
      <c r="C69" s="41"/>
      <c r="D69" s="41"/>
      <c r="E69" s="63"/>
    </row>
    <row r="70" spans="1:5" x14ac:dyDescent="0.35">
      <c r="A70" s="25" t="s">
        <v>43</v>
      </c>
      <c r="E70" s="60">
        <f>SUM(E62:E68)</f>
        <v>148.92892565484735</v>
      </c>
    </row>
    <row r="71" spans="1:5" x14ac:dyDescent="0.35">
      <c r="A71" s="25"/>
      <c r="E71" s="60"/>
    </row>
    <row r="72" spans="1:5" x14ac:dyDescent="0.35">
      <c r="A72" s="25" t="s">
        <v>44</v>
      </c>
      <c r="E72" s="63">
        <f>E70/C51-1</f>
        <v>1.8099797293367423</v>
      </c>
    </row>
    <row r="73" spans="1:5" x14ac:dyDescent="0.35">
      <c r="A73" s="25"/>
      <c r="E73" s="26"/>
    </row>
    <row r="74" spans="1:5" ht="16" thickBot="1" x14ac:dyDescent="0.4">
      <c r="A74" s="64" t="s">
        <v>45</v>
      </c>
      <c r="B74" s="65"/>
      <c r="C74" s="65"/>
      <c r="D74" s="65"/>
      <c r="E74" s="103">
        <f>(E70/C51)^(1/10)-1</f>
        <v>0.10884366263447909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2E19-683E-48EC-9C64-69D5A2053526}">
  <dimension ref="A2:AB74"/>
  <sheetViews>
    <sheetView topLeftCell="A29" zoomScaleNormal="100" workbookViewId="0">
      <selection activeCell="P13" sqref="P13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17" width="16.25" style="1" customWidth="1"/>
    <col min="18" max="18" width="10.58203125" style="1" customWidth="1"/>
    <col min="19" max="16384" width="10.58203125" style="1"/>
  </cols>
  <sheetData>
    <row r="2" spans="1:28" ht="26" x14ac:dyDescent="0.6">
      <c r="B2" s="31" t="s">
        <v>10</v>
      </c>
    </row>
    <row r="4" spans="1:28" x14ac:dyDescent="0.35">
      <c r="B4" s="22" t="s">
        <v>47</v>
      </c>
    </row>
    <row r="6" spans="1:28" x14ac:dyDescent="0.35">
      <c r="B6" s="1" t="s">
        <v>33</v>
      </c>
    </row>
    <row r="9" spans="1:28" s="8" customFormat="1" x14ac:dyDescent="0.3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35">
      <c r="A11" s="5"/>
      <c r="B11" s="4" t="s">
        <v>4</v>
      </c>
      <c r="C11" s="83">
        <v>147.65</v>
      </c>
      <c r="D11" s="83">
        <v>162.94</v>
      </c>
      <c r="E11" s="83">
        <v>188.18</v>
      </c>
      <c r="F11" s="83">
        <v>209.13</v>
      </c>
      <c r="G11" s="73">
        <f t="shared" ref="G11" si="0">F11*(1+G12)</f>
        <v>231.08865</v>
      </c>
      <c r="H11" s="73">
        <f t="shared" ref="H11" si="1">G11*(1+H12)</f>
        <v>255.35295825</v>
      </c>
      <c r="I11" s="73">
        <f t="shared" ref="I11" si="2">H11*(1+I12)</f>
        <v>282.16501886625002</v>
      </c>
      <c r="J11" s="73">
        <f t="shared" ref="J11" si="3">I11*(1+J12)</f>
        <v>311.79234584720626</v>
      </c>
      <c r="K11" s="73">
        <f t="shared" ref="K11" si="4">J11*(1+K12)</f>
        <v>344.53054216116294</v>
      </c>
      <c r="L11" s="73">
        <f t="shared" ref="L11" si="5">K11*(1+L12)</f>
        <v>380.70624908808503</v>
      </c>
      <c r="M11" s="73">
        <f t="shared" ref="M11:Q11" si="6">L11*(1+M12)</f>
        <v>420.68040524233396</v>
      </c>
      <c r="N11" s="73">
        <f t="shared" si="6"/>
        <v>464.85184779277904</v>
      </c>
      <c r="O11" s="73">
        <f t="shared" si="6"/>
        <v>513.66129181102087</v>
      </c>
      <c r="P11" s="73">
        <f t="shared" si="6"/>
        <v>565.02742099212298</v>
      </c>
      <c r="Q11" s="73">
        <f t="shared" si="6"/>
        <v>576.32796941196546</v>
      </c>
    </row>
    <row r="12" spans="1:28" x14ac:dyDescent="0.35">
      <c r="A12" s="5"/>
      <c r="B12" s="4" t="s">
        <v>1</v>
      </c>
      <c r="C12" s="87"/>
      <c r="D12" s="90">
        <f t="shared" ref="D12:F12" si="7">D11/C11-1</f>
        <v>0.10355570606163211</v>
      </c>
      <c r="E12" s="90">
        <f t="shared" si="7"/>
        <v>0.15490364551368607</v>
      </c>
      <c r="F12" s="90">
        <f t="shared" si="7"/>
        <v>0.11132957806355614</v>
      </c>
      <c r="G12" s="86">
        <v>0.105</v>
      </c>
      <c r="H12" s="86">
        <f>G12</f>
        <v>0.105</v>
      </c>
      <c r="I12" s="86">
        <f t="shared" ref="I12:O12" si="8">H12</f>
        <v>0.105</v>
      </c>
      <c r="J12" s="86">
        <f t="shared" si="8"/>
        <v>0.105</v>
      </c>
      <c r="K12" s="86">
        <f t="shared" si="8"/>
        <v>0.105</v>
      </c>
      <c r="L12" s="86">
        <f t="shared" si="8"/>
        <v>0.105</v>
      </c>
      <c r="M12" s="86">
        <f t="shared" si="8"/>
        <v>0.105</v>
      </c>
      <c r="N12" s="86">
        <f t="shared" si="8"/>
        <v>0.105</v>
      </c>
      <c r="O12" s="86">
        <f t="shared" si="8"/>
        <v>0.105</v>
      </c>
      <c r="P12" s="86">
        <v>0.1</v>
      </c>
      <c r="Q12" s="86">
        <v>0.02</v>
      </c>
    </row>
    <row r="13" spans="1:28" ht="16" customHeight="1" x14ac:dyDescent="0.35">
      <c r="A13" s="5"/>
      <c r="B13" s="4" t="s">
        <v>15</v>
      </c>
      <c r="C13" s="89">
        <v>5.79E-2</v>
      </c>
      <c r="D13" s="89">
        <v>7.8299999999999995E-2</v>
      </c>
      <c r="E13" s="89">
        <v>0.11940000000000001</v>
      </c>
      <c r="F13" s="89">
        <v>0.13100000000000001</v>
      </c>
      <c r="G13" s="85">
        <v>0.13289999999999999</v>
      </c>
      <c r="H13" s="85">
        <v>0.15279999999999999</v>
      </c>
      <c r="I13" s="85">
        <v>0.1653</v>
      </c>
      <c r="J13" s="85">
        <v>0.17119999999999999</v>
      </c>
      <c r="K13" s="85">
        <v>0.1777</v>
      </c>
      <c r="L13" s="85">
        <v>0.18</v>
      </c>
      <c r="M13" s="85">
        <v>0.19</v>
      </c>
      <c r="N13" s="85">
        <v>0.2</v>
      </c>
      <c r="O13" s="85">
        <v>0.21</v>
      </c>
      <c r="P13" s="85">
        <v>0.22</v>
      </c>
      <c r="Q13" s="85">
        <v>0.22</v>
      </c>
    </row>
    <row r="14" spans="1:28" ht="17.149999999999999" customHeight="1" x14ac:dyDescent="0.35">
      <c r="A14" s="5"/>
      <c r="B14" s="4" t="s">
        <v>16</v>
      </c>
      <c r="C14" s="83">
        <f>C11*C13</f>
        <v>8.5489350000000002</v>
      </c>
      <c r="D14" s="83">
        <f t="shared" ref="D14:Q14" si="9">D11*D13</f>
        <v>12.758201999999999</v>
      </c>
      <c r="E14" s="83">
        <f t="shared" si="9"/>
        <v>22.468692000000001</v>
      </c>
      <c r="F14" s="83">
        <f t="shared" si="9"/>
        <v>27.39603</v>
      </c>
      <c r="G14" s="73">
        <f t="shared" si="9"/>
        <v>30.711681584999997</v>
      </c>
      <c r="H14" s="73">
        <f t="shared" si="9"/>
        <v>39.0179320206</v>
      </c>
      <c r="I14" s="73">
        <f t="shared" si="9"/>
        <v>46.641877618591131</v>
      </c>
      <c r="J14" s="73">
        <f t="shared" si="9"/>
        <v>53.378849609041708</v>
      </c>
      <c r="K14" s="73">
        <f t="shared" si="9"/>
        <v>61.223077342038657</v>
      </c>
      <c r="L14" s="73">
        <f t="shared" si="9"/>
        <v>68.527124835855304</v>
      </c>
      <c r="M14" s="73">
        <f t="shared" si="9"/>
        <v>79.929276996043455</v>
      </c>
      <c r="N14" s="73">
        <f t="shared" si="9"/>
        <v>92.970369558555817</v>
      </c>
      <c r="O14" s="73">
        <f>O11*O13</f>
        <v>107.86887128031438</v>
      </c>
      <c r="P14" s="73">
        <f t="shared" si="9"/>
        <v>124.30603261826705</v>
      </c>
      <c r="Q14" s="73">
        <f t="shared" si="9"/>
        <v>126.7921532706324</v>
      </c>
    </row>
    <row r="15" spans="1:28" x14ac:dyDescent="0.35">
      <c r="A15" s="101">
        <v>0.2</v>
      </c>
      <c r="B15" s="4" t="s">
        <v>39</v>
      </c>
      <c r="C15" s="83">
        <v>10.837510000000002</v>
      </c>
      <c r="D15" s="83">
        <v>14.90901</v>
      </c>
      <c r="E15" s="83">
        <v>17.162016000000001</v>
      </c>
      <c r="F15" s="83">
        <v>19.344525000000001</v>
      </c>
      <c r="G15" s="73">
        <v>25.260808000000001</v>
      </c>
      <c r="H15" s="73">
        <v>30.543150000000001</v>
      </c>
      <c r="I15" s="73">
        <v>34.972710000000006</v>
      </c>
      <c r="J15" s="73">
        <v>39.890411999999998</v>
      </c>
      <c r="K15" s="73">
        <f t="shared" ref="K15:Q15" si="10">K14*(1-$A$15)</f>
        <v>48.978461873630927</v>
      </c>
      <c r="L15" s="73">
        <f t="shared" si="10"/>
        <v>54.821699868684249</v>
      </c>
      <c r="M15" s="73">
        <f t="shared" si="10"/>
        <v>63.943421596834767</v>
      </c>
      <c r="N15" s="73">
        <f t="shared" si="10"/>
        <v>74.376295646844653</v>
      </c>
      <c r="O15" s="73">
        <f>O14*(1-$A$15)</f>
        <v>86.295097024251504</v>
      </c>
      <c r="P15" s="73">
        <f t="shared" si="10"/>
        <v>99.444826094613646</v>
      </c>
      <c r="Q15" s="73">
        <f t="shared" si="10"/>
        <v>101.43372261650592</v>
      </c>
    </row>
    <row r="16" spans="1:28" ht="31.5" hidden="1" thickBot="1" x14ac:dyDescent="0.4">
      <c r="A16" s="13" t="s">
        <v>6</v>
      </c>
      <c r="B16" s="14"/>
      <c r="C16" s="15">
        <f t="shared" ref="C16:J16" si="11">C15/C14</f>
        <v>1.2677029360967187</v>
      </c>
      <c r="D16" s="15">
        <f t="shared" si="11"/>
        <v>1.1685823754789273</v>
      </c>
      <c r="E16" s="15">
        <f t="shared" si="11"/>
        <v>0.76381909547738691</v>
      </c>
      <c r="F16" s="15">
        <f t="shared" si="11"/>
        <v>0.70610687022900764</v>
      </c>
      <c r="G16" s="15">
        <f t="shared" si="11"/>
        <v>0.82251464902975946</v>
      </c>
      <c r="H16" s="15">
        <f t="shared" si="11"/>
        <v>0.78279776549598701</v>
      </c>
      <c r="I16" s="15">
        <f t="shared" si="11"/>
        <v>0.74981351063920554</v>
      </c>
      <c r="J16" s="15">
        <f t="shared" si="11"/>
        <v>0.7473074502760183</v>
      </c>
    </row>
    <row r="17" spans="1:18" x14ac:dyDescent="0.35">
      <c r="A17" s="2" t="s">
        <v>36</v>
      </c>
      <c r="C17" s="83"/>
      <c r="D17" s="83"/>
      <c r="E17" s="83"/>
      <c r="F17" s="83"/>
      <c r="G17" s="73">
        <f>G15/G18</f>
        <v>1.5788005000000001</v>
      </c>
      <c r="H17" s="73">
        <f t="shared" ref="H17:O17" si="12">H15/H18</f>
        <v>1.908946875</v>
      </c>
      <c r="I17" s="73">
        <f t="shared" si="12"/>
        <v>2.1857943750000004</v>
      </c>
      <c r="J17" s="73">
        <f t="shared" si="12"/>
        <v>2.4931507499999999</v>
      </c>
      <c r="K17" s="73">
        <f t="shared" si="12"/>
        <v>3.0611538671019329</v>
      </c>
      <c r="L17" s="73">
        <f t="shared" si="12"/>
        <v>3.4263562417927655</v>
      </c>
      <c r="M17" s="73">
        <f t="shared" si="12"/>
        <v>3.996463849802173</v>
      </c>
      <c r="N17" s="73">
        <f t="shared" si="12"/>
        <v>4.6485184779277908</v>
      </c>
      <c r="O17" s="73">
        <f t="shared" si="12"/>
        <v>5.393443564015719</v>
      </c>
      <c r="P17" s="73">
        <f>P15/P18</f>
        <v>6.2153016309133529</v>
      </c>
      <c r="Q17" s="73"/>
    </row>
    <row r="18" spans="1:18" ht="31.5" thickBot="1" x14ac:dyDescent="0.4">
      <c r="A18" s="2" t="s">
        <v>38</v>
      </c>
      <c r="C18" s="83"/>
      <c r="D18" s="83"/>
      <c r="E18" s="83"/>
      <c r="F18" s="83"/>
      <c r="G18" s="73">
        <f>C50</f>
        <v>16</v>
      </c>
      <c r="H18" s="73">
        <f>G18*1</f>
        <v>16</v>
      </c>
      <c r="I18" s="73">
        <f t="shared" ref="I18:P18" si="13">H18*1</f>
        <v>16</v>
      </c>
      <c r="J18" s="73">
        <f t="shared" si="13"/>
        <v>16</v>
      </c>
      <c r="K18" s="73">
        <f t="shared" si="13"/>
        <v>16</v>
      </c>
      <c r="L18" s="73">
        <f t="shared" si="13"/>
        <v>16</v>
      </c>
      <c r="M18" s="73">
        <f t="shared" si="13"/>
        <v>16</v>
      </c>
      <c r="N18" s="73">
        <f t="shared" si="13"/>
        <v>16</v>
      </c>
      <c r="O18" s="73">
        <f t="shared" si="13"/>
        <v>16</v>
      </c>
      <c r="P18" s="73">
        <f t="shared" si="13"/>
        <v>16</v>
      </c>
      <c r="Q18" s="73"/>
    </row>
    <row r="19" spans="1:18" ht="16" thickBot="1" x14ac:dyDescent="0.4">
      <c r="A19" s="2"/>
      <c r="E19" s="51" t="s">
        <v>12</v>
      </c>
      <c r="F19" s="52"/>
      <c r="G19" s="53">
        <f>G15/(1+$C$55)</f>
        <v>23.048182481751823</v>
      </c>
      <c r="H19" s="53">
        <f>H15/(1+$C$55)^2</f>
        <v>25.426859116095684</v>
      </c>
      <c r="I19" s="53">
        <f>I15/(1+$C$55)^3</f>
        <v>26.564254001200922</v>
      </c>
      <c r="J19" s="53">
        <f>J15/(1+$C$55)^4</f>
        <v>27.64561815944742</v>
      </c>
      <c r="K19" s="53">
        <f>K15/(1+$C$55)^5</f>
        <v>30.970796288114592</v>
      </c>
      <c r="L19" s="53">
        <f>L15/(1+$C$55)^6</f>
        <v>31.629270307672201</v>
      </c>
      <c r="M19" s="53">
        <f>M15/(1+$C$55)^7</f>
        <v>33.660610812529292</v>
      </c>
      <c r="N19" s="53">
        <f>N15/(1+$C$55)^8</f>
        <v>35.72317993454174</v>
      </c>
      <c r="O19" s="53">
        <f>O15/(1+$C$55)^9</f>
        <v>37.817353575777418</v>
      </c>
      <c r="P19" s="53">
        <f>P15/(1+$C$55)^10</f>
        <v>39.762771834107291</v>
      </c>
      <c r="Q19" s="54">
        <f>(Q15/(C55-Q12))/(1+C55)^10</f>
        <v>533.65825356301877</v>
      </c>
    </row>
    <row r="20" spans="1:18" x14ac:dyDescent="0.35">
      <c r="A20" s="2"/>
      <c r="C20" s="76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35">
      <c r="A21" s="2"/>
      <c r="J21" s="102"/>
      <c r="K21" s="102"/>
      <c r="L21" s="102"/>
      <c r="M21" s="102"/>
      <c r="N21" s="102"/>
      <c r="O21" s="102"/>
      <c r="P21" s="102"/>
      <c r="Q21" s="102"/>
      <c r="R21" s="3"/>
    </row>
    <row r="22" spans="1:18" ht="16" thickBot="1" x14ac:dyDescent="0.4">
      <c r="P22" s="3"/>
      <c r="Q22" s="3"/>
      <c r="R22" s="3"/>
    </row>
    <row r="23" spans="1:18" x14ac:dyDescent="0.3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9">
        <v>3.7499999999999999E-2</v>
      </c>
      <c r="J23" s="24" t="s">
        <v>26</v>
      </c>
    </row>
    <row r="24" spans="1:18" x14ac:dyDescent="0.35">
      <c r="A24" s="35"/>
      <c r="B24" s="36"/>
      <c r="C24" s="36"/>
      <c r="D24" s="37"/>
      <c r="E24" s="36"/>
      <c r="F24" s="36"/>
      <c r="G24" s="25"/>
      <c r="I24" s="80"/>
      <c r="J24" s="26"/>
    </row>
    <row r="25" spans="1:18" x14ac:dyDescent="0.35">
      <c r="A25" s="35"/>
      <c r="B25" s="36"/>
      <c r="C25" s="36"/>
      <c r="D25" s="38"/>
      <c r="F25" s="36"/>
      <c r="G25" s="25" t="s">
        <v>27</v>
      </c>
      <c r="I25" s="81">
        <f>(I27-I23)*I29</f>
        <v>5.8500000000000017E-2</v>
      </c>
      <c r="J25" s="26"/>
    </row>
    <row r="26" spans="1:18" x14ac:dyDescent="0.35">
      <c r="A26" s="35"/>
      <c r="B26" s="36"/>
      <c r="C26" s="36"/>
      <c r="D26" s="38"/>
      <c r="F26" s="36"/>
      <c r="G26" s="25"/>
      <c r="I26" s="80"/>
      <c r="J26" s="26"/>
    </row>
    <row r="27" spans="1:18" x14ac:dyDescent="0.35">
      <c r="A27" s="35"/>
      <c r="B27" s="36"/>
      <c r="C27" s="36"/>
      <c r="D27" s="38"/>
      <c r="F27" s="36"/>
      <c r="G27" s="25" t="s">
        <v>28</v>
      </c>
      <c r="I27" s="82">
        <v>7.0000000000000007E-2</v>
      </c>
      <c r="J27" s="26" t="s">
        <v>29</v>
      </c>
    </row>
    <row r="28" spans="1:18" x14ac:dyDescent="0.35">
      <c r="A28" s="35"/>
      <c r="B28" s="36"/>
      <c r="C28" s="36"/>
      <c r="D28" s="39"/>
      <c r="F28" s="36"/>
      <c r="G28" s="25"/>
      <c r="I28" s="80"/>
      <c r="J28" s="26"/>
    </row>
    <row r="29" spans="1:18" x14ac:dyDescent="0.35">
      <c r="A29" s="35"/>
      <c r="B29" s="36"/>
      <c r="C29" s="36"/>
      <c r="D29" s="39"/>
      <c r="F29" s="36"/>
      <c r="G29" s="25" t="s">
        <v>35</v>
      </c>
      <c r="I29" s="80">
        <v>1.8</v>
      </c>
      <c r="J29" s="26" t="s">
        <v>30</v>
      </c>
    </row>
    <row r="30" spans="1:18" x14ac:dyDescent="0.35">
      <c r="A30" s="35"/>
      <c r="B30" s="36"/>
      <c r="C30" s="36"/>
      <c r="D30" s="40"/>
      <c r="F30" s="36"/>
      <c r="G30" s="25"/>
      <c r="I30" s="80"/>
      <c r="J30" s="26"/>
    </row>
    <row r="31" spans="1:18" x14ac:dyDescent="0.35">
      <c r="A31" s="35"/>
      <c r="B31" s="36"/>
      <c r="C31" s="36"/>
      <c r="D31" s="37"/>
      <c r="F31" s="36"/>
      <c r="G31" s="25" t="s">
        <v>31</v>
      </c>
      <c r="I31" s="82">
        <f>I23+(I27-I23)*I29</f>
        <v>9.6000000000000016E-2</v>
      </c>
      <c r="J31" s="26" t="s">
        <v>32</v>
      </c>
    </row>
    <row r="32" spans="1:18" x14ac:dyDescent="0.35">
      <c r="A32" s="25"/>
      <c r="C32" s="41"/>
      <c r="E32" s="36"/>
      <c r="F32" s="36"/>
      <c r="G32" s="25"/>
      <c r="J32" s="26"/>
    </row>
    <row r="33" spans="1:10" x14ac:dyDescent="0.35">
      <c r="A33" s="25"/>
      <c r="G33" s="77" t="s">
        <v>34</v>
      </c>
      <c r="H33" s="22"/>
      <c r="I33" s="78">
        <f>I31</f>
        <v>9.6000000000000016E-2</v>
      </c>
      <c r="J33" s="26"/>
    </row>
    <row r="34" spans="1:10" x14ac:dyDescent="0.3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35">
      <c r="A35" s="25"/>
      <c r="G35" s="25"/>
      <c r="J35" s="26"/>
    </row>
    <row r="36" spans="1:10" ht="15.75" hidden="1" customHeight="1" x14ac:dyDescent="0.3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35">
      <c r="A37" s="25"/>
      <c r="G37" s="25"/>
      <c r="J37" s="26"/>
    </row>
    <row r="38" spans="1:10" ht="15.75" hidden="1" customHeight="1" x14ac:dyDescent="0.35">
      <c r="A38" s="25"/>
      <c r="G38" s="25"/>
      <c r="J38" s="26"/>
    </row>
    <row r="39" spans="1:10" ht="15.75" hidden="1" customHeight="1" x14ac:dyDescent="0.35">
      <c r="A39" s="25"/>
      <c r="G39" s="25"/>
      <c r="J39" s="26"/>
    </row>
    <row r="40" spans="1:10" hidden="1" x14ac:dyDescent="0.3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3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3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3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3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35">
      <c r="A45" s="25"/>
      <c r="G45" s="25"/>
      <c r="J45" s="26"/>
    </row>
    <row r="46" spans="1:10" ht="16" thickBot="1" x14ac:dyDescent="0.4">
      <c r="A46" s="28"/>
      <c r="B46" s="29" t="s">
        <v>20</v>
      </c>
      <c r="C46" s="29"/>
      <c r="D46" s="44">
        <f>I33</f>
        <v>9.6000000000000016E-2</v>
      </c>
      <c r="E46" s="29"/>
      <c r="F46" s="29"/>
      <c r="G46" s="28"/>
      <c r="H46" s="29"/>
      <c r="I46" s="29"/>
      <c r="J46" s="30"/>
    </row>
    <row r="48" spans="1:10" x14ac:dyDescent="0.35">
      <c r="A48" s="16"/>
      <c r="B48" s="17"/>
      <c r="C48" s="84">
        <v>45053</v>
      </c>
      <c r="D48" s="18" t="s">
        <v>3</v>
      </c>
      <c r="E48" s="19"/>
      <c r="F48" s="20"/>
      <c r="G48" s="21"/>
      <c r="H48" s="21"/>
      <c r="I48" s="21"/>
    </row>
    <row r="49" spans="1:17" x14ac:dyDescent="0.35">
      <c r="A49" s="45" t="s">
        <v>0</v>
      </c>
      <c r="B49" s="46" t="s">
        <v>5</v>
      </c>
      <c r="C49" s="56">
        <f>C50*C51</f>
        <v>848</v>
      </c>
      <c r="D49" s="47">
        <f>SUM(G19:Q19)</f>
        <v>845.90715007425717</v>
      </c>
      <c r="E49" s="46" t="s">
        <v>48</v>
      </c>
    </row>
    <row r="50" spans="1:17" x14ac:dyDescent="0.35">
      <c r="A50" s="45"/>
      <c r="B50" s="46" t="s">
        <v>11</v>
      </c>
      <c r="C50" s="56">
        <v>16</v>
      </c>
      <c r="D50" s="56">
        <f>C50</f>
        <v>16</v>
      </c>
      <c r="E50" s="46"/>
    </row>
    <row r="51" spans="1:17" x14ac:dyDescent="0.35">
      <c r="A51" s="45"/>
      <c r="B51" s="46" t="s">
        <v>13</v>
      </c>
      <c r="C51" s="88">
        <v>53</v>
      </c>
      <c r="D51" s="88">
        <f>D49/(D50)</f>
        <v>52.869196879641073</v>
      </c>
      <c r="E51" s="46" t="s">
        <v>48</v>
      </c>
    </row>
    <row r="52" spans="1:17" x14ac:dyDescent="0.3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35">
      <c r="A53" s="45"/>
      <c r="B53" s="46" t="s">
        <v>14</v>
      </c>
      <c r="C53" s="46"/>
      <c r="D53" s="58">
        <f>IF(C51/D51-1&lt;0,0,C51/D51-1)</f>
        <v>2.4740894146113579E-3</v>
      </c>
      <c r="E53" s="46"/>
    </row>
    <row r="54" spans="1:17" x14ac:dyDescent="0.35">
      <c r="A54" s="46"/>
      <c r="B54" s="46"/>
      <c r="C54" s="46"/>
      <c r="D54" s="48"/>
      <c r="E54" s="48"/>
    </row>
    <row r="55" spans="1:17" x14ac:dyDescent="0.35">
      <c r="A55" s="48" t="s">
        <v>19</v>
      </c>
      <c r="B55" s="46"/>
      <c r="C55" s="50">
        <f>D46</f>
        <v>9.6000000000000016E-2</v>
      </c>
      <c r="D55" s="49"/>
      <c r="E55" s="46"/>
      <c r="J55" s="71"/>
    </row>
    <row r="56" spans="1:17" x14ac:dyDescent="0.35">
      <c r="A56" s="48"/>
      <c r="B56" s="46"/>
      <c r="C56" s="50"/>
      <c r="D56" s="49"/>
      <c r="E56" s="46"/>
    </row>
    <row r="57" spans="1:17" hidden="1" x14ac:dyDescent="0.35">
      <c r="A57" s="48" t="s">
        <v>22</v>
      </c>
      <c r="B57" s="74">
        <v>0.108</v>
      </c>
      <c r="C57" s="50"/>
      <c r="D57" s="75">
        <f>SUM(H57:Q57)*1000</f>
        <v>670368.62749065971</v>
      </c>
      <c r="E57" s="46"/>
      <c r="F57" s="1" t="s">
        <v>23</v>
      </c>
      <c r="H57" s="1">
        <f>G15/(1+$B$57)</f>
        <v>22.798563176895307</v>
      </c>
      <c r="I57" s="1">
        <f>H15/(1+$B$57)^2</f>
        <v>24.879079292053845</v>
      </c>
      <c r="J57" s="1">
        <f>I15/(1+$B$57)^3</f>
        <v>25.710469387007098</v>
      </c>
      <c r="K57" s="1">
        <f>J15/(1+$B$57)^4</f>
        <v>26.467290265249698</v>
      </c>
      <c r="L57" s="1">
        <f>K15/(1+$B$57)^5</f>
        <v>29.329613528892132</v>
      </c>
      <c r="M57" s="1">
        <f>L15/(1+$B$57)^6</f>
        <v>29.628791329323565</v>
      </c>
      <c r="N57" s="1">
        <f>M15/(1+$B$57)^7</f>
        <v>31.190156135135794</v>
      </c>
      <c r="O57" s="1">
        <f>N15/(1+$B$57)^8</f>
        <v>32.742848688319441</v>
      </c>
      <c r="P57" s="1">
        <f>O15/(1+$B$57)^9</f>
        <v>34.286904504172043</v>
      </c>
      <c r="Q57" s="1">
        <f>(Q15/(B57-Q12))/(1+B57)^10</f>
        <v>413.33491118361081</v>
      </c>
    </row>
    <row r="58" spans="1:17" ht="16" thickBot="1" x14ac:dyDescent="0.4">
      <c r="A58" s="22"/>
      <c r="C58" s="66"/>
      <c r="D58" s="67"/>
    </row>
    <row r="59" spans="1:17" x14ac:dyDescent="0.35">
      <c r="A59" s="59" t="s">
        <v>42</v>
      </c>
      <c r="B59" s="23"/>
      <c r="C59" s="68">
        <v>22</v>
      </c>
      <c r="D59" s="23"/>
      <c r="E59" s="24"/>
    </row>
    <row r="60" spans="1:17" x14ac:dyDescent="0.35">
      <c r="A60" s="25" t="s">
        <v>21</v>
      </c>
      <c r="C60" s="69" t="s">
        <v>40</v>
      </c>
      <c r="E60" s="26"/>
    </row>
    <row r="61" spans="1:17" x14ac:dyDescent="0.35">
      <c r="A61" s="25"/>
      <c r="C61" s="69"/>
      <c r="E61" s="26"/>
    </row>
    <row r="62" spans="1:17" x14ac:dyDescent="0.35">
      <c r="A62" s="25" t="s">
        <v>37</v>
      </c>
      <c r="C62" s="69"/>
      <c r="E62" s="60">
        <f>P17*C59</f>
        <v>136.73663588009376</v>
      </c>
    </row>
    <row r="63" spans="1:17" x14ac:dyDescent="0.35">
      <c r="A63" s="25"/>
      <c r="C63" s="69"/>
      <c r="E63" s="26"/>
    </row>
    <row r="64" spans="1:17" x14ac:dyDescent="0.35">
      <c r="A64" s="25" t="s">
        <v>17</v>
      </c>
      <c r="C64" s="70">
        <v>0.15</v>
      </c>
      <c r="E64" s="26"/>
    </row>
    <row r="65" spans="1:5" x14ac:dyDescent="0.35">
      <c r="A65" s="25"/>
      <c r="E65" s="26"/>
    </row>
    <row r="66" spans="1:5" x14ac:dyDescent="0.35">
      <c r="A66" s="25" t="s">
        <v>18</v>
      </c>
      <c r="E66" s="60">
        <f>SUM(G17:Q17)*C64</f>
        <v>5.2361895197330597</v>
      </c>
    </row>
    <row r="67" spans="1:5" x14ac:dyDescent="0.35">
      <c r="A67" s="25"/>
      <c r="E67" s="61"/>
    </row>
    <row r="68" spans="1:5" x14ac:dyDescent="0.35">
      <c r="A68" s="104" t="s">
        <v>46</v>
      </c>
      <c r="E68" s="62">
        <f>(E66*0.25)*-1</f>
        <v>-1.3090473799332649</v>
      </c>
    </row>
    <row r="69" spans="1:5" x14ac:dyDescent="0.35">
      <c r="A69" s="25"/>
      <c r="C69" s="41"/>
      <c r="D69" s="41"/>
      <c r="E69" s="63"/>
    </row>
    <row r="70" spans="1:5" x14ac:dyDescent="0.35">
      <c r="A70" s="25" t="s">
        <v>43</v>
      </c>
      <c r="E70" s="60">
        <f>SUM(E62:E68)</f>
        <v>140.66377801989356</v>
      </c>
    </row>
    <row r="71" spans="1:5" x14ac:dyDescent="0.35">
      <c r="A71" s="25"/>
      <c r="E71" s="60"/>
    </row>
    <row r="72" spans="1:5" x14ac:dyDescent="0.35">
      <c r="A72" s="25" t="s">
        <v>44</v>
      </c>
      <c r="E72" s="63">
        <f>E70/C51-1</f>
        <v>1.6540335475451613</v>
      </c>
    </row>
    <row r="73" spans="1:5" x14ac:dyDescent="0.35">
      <c r="A73" s="25"/>
      <c r="E73" s="26"/>
    </row>
    <row r="74" spans="1:5" ht="16" thickBot="1" x14ac:dyDescent="0.4">
      <c r="A74" s="64" t="s">
        <v>45</v>
      </c>
      <c r="B74" s="65"/>
      <c r="C74" s="65"/>
      <c r="D74" s="65"/>
      <c r="E74" s="103">
        <f>(E70/C51)^(1/10)-1</f>
        <v>0.10253057195646575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Wachstum für faire 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2023-05-06T07:01:11Z</dcterms:modified>
</cp:coreProperties>
</file>