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BFFE09C1-3FF4-4387-BA5C-0F5EA70403FC}" xr6:coauthVersionLast="44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Pessimistisch" sheetId="34" r:id="rId1"/>
    <sheet name="Optimistisch" sheetId="32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8" i="34" l="1"/>
  <c r="E68" i="32"/>
  <c r="J12" i="32" l="1"/>
  <c r="J12" i="34" l="1"/>
  <c r="G11" i="35" l="1"/>
  <c r="H12" i="35" l="1"/>
  <c r="H11" i="35" s="1"/>
  <c r="I12" i="35" l="1"/>
  <c r="J12" i="35" s="1"/>
  <c r="K12" i="35" s="1"/>
  <c r="L12" i="35" s="1"/>
  <c r="M12" i="35" s="1"/>
  <c r="N12" i="35" s="1"/>
  <c r="O12" i="35" s="1"/>
  <c r="D50" i="35"/>
  <c r="C49" i="35"/>
  <c r="I31" i="35"/>
  <c r="I33" i="35" s="1"/>
  <c r="D46" i="35" s="1"/>
  <c r="C55" i="35" s="1"/>
  <c r="I25" i="35"/>
  <c r="G18" i="35"/>
  <c r="H18" i="35" s="1"/>
  <c r="I18" i="35" s="1"/>
  <c r="J18" i="35" s="1"/>
  <c r="K18" i="35" s="1"/>
  <c r="L18" i="35" s="1"/>
  <c r="M18" i="35" s="1"/>
  <c r="N18" i="35" s="1"/>
  <c r="O18" i="35" s="1"/>
  <c r="P18" i="35" s="1"/>
  <c r="F14" i="35"/>
  <c r="F16" i="35" s="1"/>
  <c r="E14" i="35"/>
  <c r="E16" i="35" s="1"/>
  <c r="D14" i="35"/>
  <c r="D16" i="35" s="1"/>
  <c r="C14" i="35"/>
  <c r="C16" i="35" s="1"/>
  <c r="F12" i="35"/>
  <c r="E12" i="35"/>
  <c r="D12" i="35"/>
  <c r="I11" i="35" l="1"/>
  <c r="J11" i="35" s="1"/>
  <c r="K11" i="35" s="1"/>
  <c r="L11" i="35" s="1"/>
  <c r="D14" i="34" l="1"/>
  <c r="E14" i="34"/>
  <c r="F14" i="34"/>
  <c r="G14" i="34"/>
  <c r="H14" i="34"/>
  <c r="I14" i="34"/>
  <c r="C14" i="34"/>
  <c r="D50" i="34" l="1"/>
  <c r="D50" i="32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G14" i="32" l="1"/>
  <c r="H14" i="32"/>
  <c r="I14" i="32"/>
  <c r="D14" i="32"/>
  <c r="E14" i="32"/>
  <c r="F14" i="32"/>
  <c r="C14" i="32"/>
  <c r="I25" i="32" l="1"/>
  <c r="I12" i="32" l="1"/>
  <c r="H12" i="34" l="1"/>
  <c r="I12" i="34"/>
  <c r="G12" i="34"/>
  <c r="E12" i="34"/>
  <c r="F12" i="34"/>
  <c r="D12" i="34"/>
  <c r="D12" i="32" l="1"/>
  <c r="E12" i="32"/>
  <c r="F12" i="32"/>
  <c r="G12" i="32"/>
  <c r="H12" i="32"/>
  <c r="C16" i="34" l="1"/>
  <c r="H16" i="34"/>
  <c r="G16" i="34"/>
  <c r="F16" i="34"/>
  <c r="E16" i="34"/>
  <c r="D16" i="34"/>
  <c r="C49" i="32"/>
  <c r="G17" i="34" l="1"/>
  <c r="H17" i="34"/>
  <c r="C49" i="34" l="1"/>
  <c r="I31" i="34"/>
  <c r="I33" i="34" s="1"/>
  <c r="D46" i="34" s="1"/>
  <c r="C55" i="34" s="1"/>
  <c r="I25" i="34"/>
  <c r="I57" i="32"/>
  <c r="I31" i="32"/>
  <c r="I33" i="32" s="1"/>
  <c r="D46" i="32" s="1"/>
  <c r="C55" i="32" s="1"/>
  <c r="C16" i="32"/>
  <c r="G19" i="32" l="1"/>
  <c r="H19" i="34"/>
  <c r="G19" i="34"/>
  <c r="H57" i="34"/>
  <c r="I57" i="34"/>
  <c r="H16" i="32"/>
  <c r="H19" i="32"/>
  <c r="H57" i="32"/>
  <c r="G16" i="32"/>
  <c r="F16" i="32" l="1"/>
  <c r="E16" i="32"/>
  <c r="D16" i="32"/>
  <c r="J57" i="32" l="1"/>
  <c r="I16" i="32"/>
  <c r="I19" i="32"/>
  <c r="J57" i="34" l="1"/>
  <c r="I16" i="34"/>
  <c r="I19" i="34"/>
  <c r="I17" i="34"/>
  <c r="H17" i="32" l="1"/>
  <c r="G17" i="32"/>
  <c r="I17" i="32" l="1"/>
  <c r="H14" i="35" l="1"/>
  <c r="G14" i="35"/>
  <c r="I14" i="35" l="1"/>
  <c r="I57" i="35" l="1"/>
  <c r="H19" i="35"/>
  <c r="H17" i="35"/>
  <c r="H16" i="35"/>
  <c r="H57" i="35"/>
  <c r="G19" i="35"/>
  <c r="G17" i="35"/>
  <c r="G16" i="35"/>
  <c r="J14" i="35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J14" i="34" l="1"/>
  <c r="J16" i="34" l="1"/>
  <c r="K11" i="34"/>
  <c r="J19" i="34" l="1"/>
  <c r="K57" i="34"/>
  <c r="J17" i="34"/>
  <c r="K14" i="34"/>
  <c r="K15" i="34" s="1"/>
  <c r="L11" i="34"/>
  <c r="L14" i="34" l="1"/>
  <c r="L15" i="34" s="1"/>
  <c r="M11" i="34"/>
  <c r="K19" i="34"/>
  <c r="K17" i="34"/>
  <c r="L57" i="34"/>
  <c r="N11" i="34" l="1"/>
  <c r="M14" i="34"/>
  <c r="M15" i="34" s="1"/>
  <c r="M57" i="34"/>
  <c r="L19" i="34"/>
  <c r="L17" i="34"/>
  <c r="M19" i="34" l="1"/>
  <c r="N57" i="34"/>
  <c r="M17" i="34"/>
  <c r="N14" i="34"/>
  <c r="N15" i="34" s="1"/>
  <c r="O11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O19" i="34"/>
  <c r="P57" i="34"/>
  <c r="O17" i="34"/>
  <c r="D43" i="34" l="1"/>
  <c r="D42" i="34"/>
  <c r="D40" i="34"/>
  <c r="D44" i="34"/>
  <c r="D41" i="34"/>
  <c r="P17" i="34"/>
  <c r="P19" i="34"/>
  <c r="Q19" i="34"/>
  <c r="Q57" i="34"/>
  <c r="D57" i="34" s="1"/>
  <c r="D49" i="34" l="1"/>
  <c r="D51" i="34" s="1"/>
  <c r="D52" i="34" s="1"/>
  <c r="E62" i="34"/>
  <c r="E66" i="34"/>
  <c r="D53" i="34" l="1"/>
  <c r="E70" i="34"/>
  <c r="E74" i="34" s="1"/>
  <c r="E72" i="34" l="1"/>
  <c r="J14" i="32"/>
  <c r="J19" i="32" l="1"/>
  <c r="K57" i="32"/>
  <c r="J16" i="32"/>
  <c r="J17" i="32"/>
  <c r="K11" i="32"/>
  <c r="L11" i="32" l="1"/>
  <c r="K14" i="32"/>
  <c r="K15" i="32" s="1"/>
  <c r="K17" i="32" l="1"/>
  <c r="L57" i="32"/>
  <c r="K19" i="32"/>
  <c r="L14" i="32"/>
  <c r="L15" i="32" s="1"/>
  <c r="M11" i="32"/>
  <c r="M14" i="32" l="1"/>
  <c r="M15" i="32" s="1"/>
  <c r="N11" i="32"/>
  <c r="L19" i="32"/>
  <c r="M57" i="32"/>
  <c r="L17" i="32"/>
  <c r="N14" i="32" l="1"/>
  <c r="N15" i="32" s="1"/>
  <c r="O11" i="32"/>
  <c r="N57" i="32"/>
  <c r="M17" i="32"/>
  <c r="M19" i="32"/>
  <c r="P11" i="32" l="1"/>
  <c r="O14" i="32"/>
  <c r="O15" i="32" s="1"/>
  <c r="O57" i="32"/>
  <c r="N19" i="32"/>
  <c r="N17" i="32"/>
  <c r="O17" i="32" l="1"/>
  <c r="P57" i="32"/>
  <c r="O19" i="32"/>
  <c r="Q11" i="32"/>
  <c r="Q14" i="32" s="1"/>
  <c r="Q15" i="32" s="1"/>
  <c r="P14" i="32"/>
  <c r="P15" i="32" s="1"/>
  <c r="D43" i="32" l="1"/>
  <c r="D44" i="32"/>
  <c r="D42" i="32"/>
  <c r="D40" i="32"/>
  <c r="D41" i="32"/>
  <c r="P19" i="32"/>
  <c r="P17" i="32"/>
  <c r="E62" i="32" s="1"/>
  <c r="Q57" i="32"/>
  <c r="D57" i="32" s="1"/>
  <c r="Q19" i="32"/>
  <c r="D49" i="32" l="1"/>
  <c r="D51" i="32" s="1"/>
  <c r="D52" i="32" s="1"/>
  <c r="E66" i="32"/>
  <c r="E70" i="32" l="1"/>
  <c r="E74" i="32" s="1"/>
  <c r="D53" i="32"/>
  <c r="E72" i="32" l="1"/>
</calcChain>
</file>

<file path=xl/sharedStrings.xml><?xml version="1.0" encoding="utf-8"?>
<sst xmlns="http://schemas.openxmlformats.org/spreadsheetml/2006/main" count="149" uniqueCount="49">
  <si>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</si>
  <si>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</si>
  <si>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</si>
  <si>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</si>
  <si>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</si>
  <si>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</si>
  <si>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</si>
  <si>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</si>
  <si>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</si>
  <si>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</si>
  <si>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</si>
  <si>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</si>
  <si>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</si>
  <si>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</si>
  <si>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</si>
  <si>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</si>
  <si>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</si>
  <si>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</si>
  <si>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</si>
  <si>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</si>
  <si>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</si>
  <si>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</si>
  <si>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</si>
  <si>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</si>
  <si>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</si>
  <si>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</si>
  <si>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</si>
  <si>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</si>
  <si>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</si>
  <si>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</si>
  <si>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</si>
  <si>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</si>
  <si>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</si>
  <si>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</si>
  <si>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</si>
  <si>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</si>
  <si>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</si>
  <si>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</si>
  <si>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</si>
  <si>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</si>
  <si>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 xml:space="preserve"> </t>
  </si>
  <si>
    <t>2033ff.</t>
  </si>
  <si>
    <t>KGV Multiple in 2032</t>
  </si>
  <si>
    <t>Gesamtwert 2032</t>
  </si>
  <si>
    <t>Steigerung Gesamt bis 2032 in Prozent</t>
  </si>
  <si>
    <t>Renditeerwartung bis 2032 pro Jahr</t>
  </si>
  <si>
    <t xml:space="preserve"> Annahmen für Chugai Pharmaceutical</t>
  </si>
  <si>
    <t>JPY</t>
  </si>
  <si>
    <t>Quellensteuer Japan (25,315 %)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</si>
</sst>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9" fontId="0" fillId="9" borderId="0" xfId="1" applyFont="1" applyFill="1"/>
    <xf numFmtId="9" fontId="6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10" borderId="10" xfId="1" applyNumberFormat="1" applyFont="1" applyFill="1" applyBorder="1"/>
    <xf numFmtId="10" fontId="0" fillId="2" borderId="7" xfId="0" applyNumberFormat="1" applyFill="1" applyBorder="1"/>
    <xf numFmtId="4" fontId="13" fillId="2" borderId="8" xfId="0" quotePrefix="1" applyNumberFormat="1" applyFont="1" applyFill="1" applyBorder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15507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64091" y="4656666"/>
          <a:ext cx="3582091" cy="138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4A3B2B-061E-42EB-AB1A-BED6F37A5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29795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2:AB74"/>
  <sheetViews>
    <sheetView topLeftCell="A29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686184</v>
      </c>
      <c r="D11" s="82">
        <v>786945</v>
      </c>
      <c r="E11" s="82">
        <v>999758</v>
      </c>
      <c r="F11" s="82">
        <v>1259946</v>
      </c>
      <c r="G11" s="72">
        <v>1076686.67</v>
      </c>
      <c r="H11" s="72">
        <v>1041874.17</v>
      </c>
      <c r="I11" s="72">
        <v>1072879.0900000001</v>
      </c>
      <c r="J11" s="72">
        <v>1087950</v>
      </c>
      <c r="K11" s="72">
        <f t="shared" ref="K11" si="0">J11*(1+K12)</f>
        <v>1142347.5</v>
      </c>
      <c r="L11" s="72">
        <f t="shared" ref="L11:Q11" si="1">K11*(1+L12)</f>
        <v>1199464.875</v>
      </c>
      <c r="M11" s="72">
        <f t="shared" si="1"/>
        <v>1253440.7943749998</v>
      </c>
      <c r="N11" s="72">
        <f t="shared" si="1"/>
        <v>1303578.42615</v>
      </c>
      <c r="O11" s="72">
        <f t="shared" si="1"/>
        <v>1342685.7789344999</v>
      </c>
      <c r="P11" s="72">
        <f t="shared" si="1"/>
        <v>1369539.4945131899</v>
      </c>
      <c r="Q11" s="72">
        <f t="shared" si="1"/>
        <v>1390082.5869308875</v>
      </c>
    </row>
    <row r="12" spans="1:28" x14ac:dyDescent="0.25">
      <c r="A12" s="5"/>
      <c r="B12" s="4" t="s">
        <v>1</v>
      </c>
      <c r="C12" s="86"/>
      <c r="D12" s="89">
        <f t="shared" ref="D12:J12" si="2">D11/C11-1</f>
        <v>0.14684253786156476</v>
      </c>
      <c r="E12" s="89">
        <f t="shared" si="2"/>
        <v>0.27042931844029772</v>
      </c>
      <c r="F12" s="89">
        <f t="shared" si="2"/>
        <v>0.26025098073733854</v>
      </c>
      <c r="G12" s="85">
        <f t="shared" si="2"/>
        <v>-0.1454501462761103</v>
      </c>
      <c r="H12" s="85">
        <f t="shared" si="2"/>
        <v>-3.2332990618338275E-2</v>
      </c>
      <c r="I12" s="85">
        <f t="shared" si="2"/>
        <v>2.9758795152777351E-2</v>
      </c>
      <c r="J12" s="85">
        <f t="shared" si="2"/>
        <v>1.4047165370703496E-2</v>
      </c>
      <c r="K12" s="85">
        <v>0.05</v>
      </c>
      <c r="L12" s="71">
        <v>0.05</v>
      </c>
      <c r="M12" s="71">
        <v>4.4999999999999998E-2</v>
      </c>
      <c r="N12" s="71">
        <v>0.04</v>
      </c>
      <c r="O12" s="71">
        <v>0.03</v>
      </c>
      <c r="P12" s="71">
        <v>0.02</v>
      </c>
      <c r="Q12" s="12">
        <v>1.4999999999999999E-2</v>
      </c>
    </row>
    <row r="13" spans="1:28" ht="15.95" customHeight="1" x14ac:dyDescent="0.25">
      <c r="A13" s="5"/>
      <c r="B13" s="4" t="s">
        <v>15</v>
      </c>
      <c r="C13" s="88">
        <v>0.31259999999999999</v>
      </c>
      <c r="D13" s="88">
        <v>0.39</v>
      </c>
      <c r="E13" s="88">
        <v>0.43380000000000002</v>
      </c>
      <c r="F13" s="88">
        <v>0.42380000000000001</v>
      </c>
      <c r="G13" s="84">
        <v>0.3866</v>
      </c>
      <c r="H13" s="84">
        <v>0.4103</v>
      </c>
      <c r="I13" s="84">
        <v>0.4209</v>
      </c>
      <c r="J13" s="84">
        <v>0.39379999999999998</v>
      </c>
      <c r="K13" s="84">
        <v>0.4</v>
      </c>
      <c r="L13" s="84">
        <v>0.4</v>
      </c>
      <c r="M13" s="84">
        <v>0.4</v>
      </c>
      <c r="N13" s="84">
        <v>0.4</v>
      </c>
      <c r="O13" s="84">
        <v>0.4</v>
      </c>
      <c r="P13" s="84">
        <v>0.4</v>
      </c>
      <c r="Q13" s="84">
        <v>0.4</v>
      </c>
    </row>
    <row r="14" spans="1:28" ht="17.100000000000001" customHeight="1" x14ac:dyDescent="0.25">
      <c r="A14" s="5"/>
      <c r="B14" s="4" t="s">
        <v>16</v>
      </c>
      <c r="C14" s="82">
        <f>C11*C13</f>
        <v>214501.11840000001</v>
      </c>
      <c r="D14" s="82">
        <f t="shared" ref="D14:I14" si="3">D11*D13</f>
        <v>306908.55</v>
      </c>
      <c r="E14" s="82">
        <f t="shared" si="3"/>
        <v>433695.02040000004</v>
      </c>
      <c r="F14" s="82">
        <f t="shared" si="3"/>
        <v>533965.11479999998</v>
      </c>
      <c r="G14" s="72">
        <f t="shared" si="3"/>
        <v>416247.06662199995</v>
      </c>
      <c r="H14" s="72">
        <f t="shared" si="3"/>
        <v>427480.97195100004</v>
      </c>
      <c r="I14" s="72">
        <f t="shared" si="3"/>
        <v>451574.80898100004</v>
      </c>
      <c r="J14" s="72">
        <f>J11*J13</f>
        <v>428434.70999999996</v>
      </c>
      <c r="K14" s="72">
        <f t="shared" ref="K14:Q14" si="4">K11*K13</f>
        <v>456939</v>
      </c>
      <c r="L14" s="72">
        <f t="shared" si="4"/>
        <v>479785.95</v>
      </c>
      <c r="M14" s="72">
        <f t="shared" si="4"/>
        <v>501376.31774999993</v>
      </c>
      <c r="N14" s="72">
        <f t="shared" si="4"/>
        <v>521431.37046000001</v>
      </c>
      <c r="O14" s="72">
        <f t="shared" si="4"/>
        <v>537074.31157380005</v>
      </c>
      <c r="P14" s="72">
        <f>P11*P13</f>
        <v>547815.797805276</v>
      </c>
      <c r="Q14" s="72">
        <f t="shared" si="4"/>
        <v>556033.03477235499</v>
      </c>
    </row>
    <row r="15" spans="1:28" x14ac:dyDescent="0.25">
      <c r="A15" s="100">
        <v>0.3</v>
      </c>
      <c r="B15" s="4" t="s">
        <v>39</v>
      </c>
      <c r="C15" s="82">
        <v>157547.84640000001</v>
      </c>
      <c r="D15" s="82">
        <v>214757.29049999997</v>
      </c>
      <c r="E15" s="82">
        <v>303026.64979999996</v>
      </c>
      <c r="F15" s="82">
        <v>374455.95120000001</v>
      </c>
      <c r="G15" s="72">
        <v>304056.31560799998</v>
      </c>
      <c r="H15" s="72">
        <v>312145.50133200001</v>
      </c>
      <c r="I15" s="72">
        <v>330661.33553799998</v>
      </c>
      <c r="J15" s="72">
        <v>345315.33</v>
      </c>
      <c r="K15" s="72">
        <f t="shared" ref="K15:Q15" si="5">K14*(1-$A$15)</f>
        <v>319857.3</v>
      </c>
      <c r="L15" s="72">
        <f t="shared" si="5"/>
        <v>335850.16499999998</v>
      </c>
      <c r="M15" s="72">
        <f t="shared" si="5"/>
        <v>350963.42242499994</v>
      </c>
      <c r="N15" s="72">
        <f t="shared" si="5"/>
        <v>365001.95932199998</v>
      </c>
      <c r="O15" s="72">
        <f t="shared" si="5"/>
        <v>375952.01810166001</v>
      </c>
      <c r="P15" s="72">
        <f>P14*(1-$A$15)</f>
        <v>383471.05846369319</v>
      </c>
      <c r="Q15" s="72">
        <f t="shared" si="5"/>
        <v>389223.12434064847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0.73448496481126047</v>
      </c>
      <c r="D16" s="15">
        <f t="shared" si="6"/>
        <v>0.69974358974358963</v>
      </c>
      <c r="E16" s="15">
        <f t="shared" si="6"/>
        <v>0.69870908252650976</v>
      </c>
      <c r="F16" s="15">
        <f t="shared" si="6"/>
        <v>0.70127418593676272</v>
      </c>
      <c r="G16" s="15">
        <f t="shared" si="6"/>
        <v>0.73047077082255563</v>
      </c>
      <c r="H16" s="15">
        <f t="shared" si="6"/>
        <v>0.73019741652449421</v>
      </c>
      <c r="I16" s="15">
        <f t="shared" si="6"/>
        <v>0.73224043715846987</v>
      </c>
      <c r="J16" s="15">
        <f t="shared" si="6"/>
        <v>0.80599288979177253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184.80296335501123</v>
      </c>
      <c r="H17" s="72">
        <f t="shared" ref="H17:P17" si="7">H15/H18</f>
        <v>189.7195048513949</v>
      </c>
      <c r="I17" s="72">
        <f t="shared" si="7"/>
        <v>200.97327875645777</v>
      </c>
      <c r="J17" s="72">
        <f t="shared" si="7"/>
        <v>209.87985777669726</v>
      </c>
      <c r="K17" s="72">
        <f t="shared" si="7"/>
        <v>194.40667355497479</v>
      </c>
      <c r="L17" s="72">
        <f t="shared" si="7"/>
        <v>204.12700723272351</v>
      </c>
      <c r="M17" s="72">
        <f t="shared" si="7"/>
        <v>213.31272255819604</v>
      </c>
      <c r="N17" s="72">
        <f t="shared" si="7"/>
        <v>221.84523146052391</v>
      </c>
      <c r="O17" s="72">
        <f t="shared" si="7"/>
        <v>228.50058840433965</v>
      </c>
      <c r="P17" s="72">
        <f t="shared" si="7"/>
        <v>233.07060017242642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1645.3</v>
      </c>
      <c r="H18" s="72">
        <f>G18*1</f>
        <v>1645.3</v>
      </c>
      <c r="I18" s="72">
        <f t="shared" ref="I18:P18" si="8">H18*1</f>
        <v>1645.3</v>
      </c>
      <c r="J18" s="72">
        <f t="shared" si="8"/>
        <v>1645.3</v>
      </c>
      <c r="K18" s="72">
        <f t="shared" si="8"/>
        <v>1645.3</v>
      </c>
      <c r="L18" s="72">
        <f t="shared" si="8"/>
        <v>1645.3</v>
      </c>
      <c r="M18" s="72">
        <f t="shared" si="8"/>
        <v>1645.3</v>
      </c>
      <c r="N18" s="72">
        <f t="shared" si="8"/>
        <v>1645.3</v>
      </c>
      <c r="O18" s="72">
        <f t="shared" si="8"/>
        <v>1645.3</v>
      </c>
      <c r="P18" s="72">
        <f t="shared" si="8"/>
        <v>1645.3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276603.42561564699</v>
      </c>
      <c r="H19" s="53">
        <f>H15/(1+$C$55)^2</f>
        <v>258323.62810854401</v>
      </c>
      <c r="I19" s="53">
        <f>I15/(1+$C$55)^3</f>
        <v>248939.60301885958</v>
      </c>
      <c r="J19" s="53">
        <f>J15/(1+$C$55)^4</f>
        <v>236499.35561892623</v>
      </c>
      <c r="K19" s="53">
        <f>K15/(1+$C$55)^5</f>
        <v>199284.67167341514</v>
      </c>
      <c r="L19" s="53">
        <f>L15/(1+$C$55)^6</f>
        <v>190356.06573307788</v>
      </c>
      <c r="M19" s="53">
        <f>M15/(1+$C$55)^7</f>
        <v>180961.64538646018</v>
      </c>
      <c r="N19" s="53">
        <f>N15/(1+$C$55)^8</f>
        <v>171207.74273542743</v>
      </c>
      <c r="O19" s="53">
        <f>O15/(1+$C$55)^9</f>
        <v>160422.08325448283</v>
      </c>
      <c r="P19" s="53">
        <f>P15/(1+$C$55)^10</f>
        <v>148856.51573306569</v>
      </c>
      <c r="Q19" s="54">
        <f>(Q15/(C55-Q12))/(1+C55)^10</f>
        <v>1793345.5604636394</v>
      </c>
    </row>
    <row r="20" spans="1:18" x14ac:dyDescent="0.25">
      <c r="A20" s="2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90" t="s">
        <v>25</v>
      </c>
      <c r="H23" s="91"/>
      <c r="I23" s="92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93"/>
      <c r="H24" s="6"/>
      <c r="I24" s="94"/>
      <c r="J24" s="26"/>
    </row>
    <row r="25" spans="1:18" x14ac:dyDescent="0.25">
      <c r="A25" s="35"/>
      <c r="B25" s="36"/>
      <c r="C25" s="36"/>
      <c r="D25" s="38"/>
      <c r="F25" s="36"/>
      <c r="G25" s="93" t="s">
        <v>27</v>
      </c>
      <c r="H25" s="6"/>
      <c r="I25" s="95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93"/>
      <c r="H26" s="6"/>
      <c r="I26" s="94"/>
      <c r="J26" s="26"/>
    </row>
    <row r="27" spans="1:18" x14ac:dyDescent="0.25">
      <c r="A27" s="35"/>
      <c r="B27" s="36"/>
      <c r="C27" s="36"/>
      <c r="D27" s="38"/>
      <c r="F27" s="36"/>
      <c r="G27" s="93" t="s">
        <v>28</v>
      </c>
      <c r="H27" s="6"/>
      <c r="I27" s="96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93"/>
      <c r="H28" s="6"/>
      <c r="I28" s="94"/>
      <c r="J28" s="26"/>
    </row>
    <row r="29" spans="1:18" x14ac:dyDescent="0.25">
      <c r="A29" s="35"/>
      <c r="B29" s="36"/>
      <c r="C29" s="36"/>
      <c r="D29" s="39"/>
      <c r="F29" s="36"/>
      <c r="G29" s="93" t="s">
        <v>35</v>
      </c>
      <c r="H29" s="6"/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93"/>
      <c r="H30" s="6"/>
      <c r="I30" s="94"/>
      <c r="J30" s="26"/>
    </row>
    <row r="31" spans="1:18" x14ac:dyDescent="0.25">
      <c r="A31" s="35"/>
      <c r="B31" s="36"/>
      <c r="C31" s="36"/>
      <c r="D31" s="37"/>
      <c r="F31" s="36"/>
      <c r="G31" s="93" t="s">
        <v>31</v>
      </c>
      <c r="H31" s="6"/>
      <c r="I31" s="96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93"/>
      <c r="H32" s="6"/>
      <c r="I32" s="6"/>
      <c r="J32" s="26"/>
    </row>
    <row r="33" spans="1:10" x14ac:dyDescent="0.25">
      <c r="A33" s="25"/>
      <c r="G33" s="97" t="s">
        <v>34</v>
      </c>
      <c r="H33" s="98"/>
      <c r="I33" s="99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93"/>
      <c r="H34" s="6"/>
      <c r="I34" s="6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45080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6385409.2999999998</v>
      </c>
      <c r="D49" s="47">
        <f>SUM(G19:Q19)</f>
        <v>3864800.2973415456</v>
      </c>
      <c r="E49" s="46" t="s">
        <v>47</v>
      </c>
    </row>
    <row r="50" spans="1:17" x14ac:dyDescent="0.25">
      <c r="A50" s="45"/>
      <c r="B50" s="46" t="s">
        <v>11</v>
      </c>
      <c r="C50" s="56">
        <v>1645.3</v>
      </c>
      <c r="D50" s="56">
        <f>C50</f>
        <v>1645.3</v>
      </c>
      <c r="E50" s="46"/>
    </row>
    <row r="51" spans="1:17" x14ac:dyDescent="0.25">
      <c r="A51" s="45"/>
      <c r="B51" s="46" t="s">
        <v>13</v>
      </c>
      <c r="C51" s="87">
        <v>3881</v>
      </c>
      <c r="D51" s="56">
        <f>D49/(D50)</f>
        <v>2348.9942851404276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0.65219644192024329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3355970818.1101274</v>
      </c>
      <c r="E57" s="46"/>
      <c r="F57" s="1" t="s">
        <v>23</v>
      </c>
      <c r="H57" s="1">
        <f>G15/(1+$B$57)</f>
        <v>274419.05740794219</v>
      </c>
      <c r="I57" s="1">
        <f>H15/(1+$B$57)^2</f>
        <v>254259.71709848943</v>
      </c>
      <c r="J57" s="1">
        <f>I15/(1+$B$57)^3</f>
        <v>243088.34359180715</v>
      </c>
      <c r="K57" s="1">
        <f>J15/(1+$B$57)^4</f>
        <v>229116.73793067088</v>
      </c>
      <c r="L57" s="1">
        <f>K15/(1+$B$57)^5</f>
        <v>191539.10993774221</v>
      </c>
      <c r="M57" s="1">
        <f>L15/(1+$B$57)^6</f>
        <v>181512.69443558599</v>
      </c>
      <c r="N57" s="1">
        <f>M15/(1+$B$57)^7</f>
        <v>171192.02679168532</v>
      </c>
      <c r="O57" s="1">
        <f>N15/(1+$B$57)^8</f>
        <v>160685.65691638328</v>
      </c>
      <c r="P57" s="1">
        <f>O15/(1+$B$57)^9</f>
        <v>149373.85074356929</v>
      </c>
      <c r="Q57" s="1">
        <f>(Q15/(B57-Q12))/(1+B57)^10</f>
        <v>1500783.6232562519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15</v>
      </c>
      <c r="D59" s="23"/>
      <c r="E59" s="24"/>
    </row>
    <row r="60" spans="1:17" x14ac:dyDescent="0.25">
      <c r="A60" s="25" t="s">
        <v>21</v>
      </c>
      <c r="C60" s="68"/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3496.0590025863962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0.4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832.25537124909829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(E66*0.25315)*-1</f>
        <v>-210.68544723170922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4117.6289266037857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6.097112254671111E-2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5.936012918431377E-3</v>
      </c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K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B34D-A856-4E94-9389-3AD72615DA53}">
  <dimension ref="A2:AB74"/>
  <sheetViews>
    <sheetView topLeftCell="A31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686184</v>
      </c>
      <c r="D11" s="82">
        <v>786945</v>
      </c>
      <c r="E11" s="82">
        <v>999758</v>
      </c>
      <c r="F11" s="82">
        <v>1259946</v>
      </c>
      <c r="G11" s="72">
        <v>1076686.67</v>
      </c>
      <c r="H11" s="72">
        <v>1041874.17</v>
      </c>
      <c r="I11" s="72">
        <v>1072879.0900000001</v>
      </c>
      <c r="J11" s="72">
        <v>1087950</v>
      </c>
      <c r="K11" s="72">
        <f t="shared" ref="K11" si="0">J11*(1+K12)</f>
        <v>1218504</v>
      </c>
      <c r="L11" s="72">
        <f t="shared" ref="L11:Q11" si="1">K11*(1+L12)</f>
        <v>1340354.4000000001</v>
      </c>
      <c r="M11" s="72">
        <f t="shared" si="1"/>
        <v>1460986.2960000003</v>
      </c>
      <c r="N11" s="72">
        <f t="shared" si="1"/>
        <v>1577865.1996800005</v>
      </c>
      <c r="O11" s="72">
        <f t="shared" si="1"/>
        <v>1688315.7636576006</v>
      </c>
      <c r="P11" s="72">
        <f t="shared" si="1"/>
        <v>1755848.3942039048</v>
      </c>
      <c r="Q11" s="72">
        <f t="shared" si="1"/>
        <v>1790965.3620879829</v>
      </c>
    </row>
    <row r="12" spans="1:28" x14ac:dyDescent="0.25">
      <c r="A12" s="5"/>
      <c r="B12" s="4" t="s">
        <v>1</v>
      </c>
      <c r="C12" s="89"/>
      <c r="D12" s="89">
        <f t="shared" ref="D12:J12" si="2">D11/C11-1</f>
        <v>0.14684253786156476</v>
      </c>
      <c r="E12" s="89">
        <f t="shared" si="2"/>
        <v>0.27042931844029772</v>
      </c>
      <c r="F12" s="89">
        <f t="shared" si="2"/>
        <v>0.26025098073733854</v>
      </c>
      <c r="G12" s="85">
        <f t="shared" si="2"/>
        <v>-0.1454501462761103</v>
      </c>
      <c r="H12" s="85">
        <f t="shared" si="2"/>
        <v>-3.2332990618338275E-2</v>
      </c>
      <c r="I12" s="85">
        <f t="shared" si="2"/>
        <v>2.9758795152777351E-2</v>
      </c>
      <c r="J12" s="85">
        <f t="shared" si="2"/>
        <v>1.4047165370703496E-2</v>
      </c>
      <c r="K12" s="85">
        <v>0.12</v>
      </c>
      <c r="L12" s="71">
        <v>0.1</v>
      </c>
      <c r="M12" s="71">
        <v>0.09</v>
      </c>
      <c r="N12" s="71">
        <v>0.08</v>
      </c>
      <c r="O12" s="71">
        <v>7.0000000000000007E-2</v>
      </c>
      <c r="P12" s="71">
        <v>0.04</v>
      </c>
      <c r="Q12" s="12">
        <v>0.02</v>
      </c>
    </row>
    <row r="13" spans="1:28" ht="15.95" customHeight="1" x14ac:dyDescent="0.25">
      <c r="A13" s="5"/>
      <c r="B13" s="4" t="s">
        <v>15</v>
      </c>
      <c r="C13" s="88">
        <v>0.31259999999999999</v>
      </c>
      <c r="D13" s="88">
        <v>0.39</v>
      </c>
      <c r="E13" s="88">
        <v>0.43380000000000002</v>
      </c>
      <c r="F13" s="88">
        <v>0.42380000000000001</v>
      </c>
      <c r="G13" s="84">
        <v>0.3866</v>
      </c>
      <c r="H13" s="84">
        <v>0.4103</v>
      </c>
      <c r="I13" s="84">
        <v>0.4209</v>
      </c>
      <c r="J13" s="84">
        <v>0.39379999999999998</v>
      </c>
      <c r="K13" s="84">
        <v>0.4</v>
      </c>
      <c r="L13" s="84">
        <v>0.41</v>
      </c>
      <c r="M13" s="84">
        <v>0.41499999999999998</v>
      </c>
      <c r="N13" s="84">
        <v>0.42</v>
      </c>
      <c r="O13" s="84">
        <v>0.42499999999999999</v>
      </c>
      <c r="P13" s="84">
        <v>0.43</v>
      </c>
      <c r="Q13" s="84">
        <v>0.43</v>
      </c>
    </row>
    <row r="14" spans="1:28" ht="17.100000000000001" customHeight="1" x14ac:dyDescent="0.25">
      <c r="A14" s="5"/>
      <c r="B14" s="4" t="s">
        <v>16</v>
      </c>
      <c r="C14" s="82">
        <f>C11*C13</f>
        <v>214501.11840000001</v>
      </c>
      <c r="D14" s="82">
        <f t="shared" ref="D14:J14" si="3">D11*D13</f>
        <v>306908.55</v>
      </c>
      <c r="E14" s="82">
        <f t="shared" si="3"/>
        <v>433695.02040000004</v>
      </c>
      <c r="F14" s="82">
        <f t="shared" si="3"/>
        <v>533965.11479999998</v>
      </c>
      <c r="G14" s="72">
        <f t="shared" si="3"/>
        <v>416247.06662199995</v>
      </c>
      <c r="H14" s="72">
        <f t="shared" si="3"/>
        <v>427480.97195100004</v>
      </c>
      <c r="I14" s="72">
        <f t="shared" si="3"/>
        <v>451574.80898100004</v>
      </c>
      <c r="J14" s="72">
        <f t="shared" si="3"/>
        <v>428434.70999999996</v>
      </c>
      <c r="K14" s="72">
        <f t="shared" ref="K14:Q14" si="4">K11*K13</f>
        <v>487401.60000000003</v>
      </c>
      <c r="L14" s="72">
        <f t="shared" si="4"/>
        <v>549545.304</v>
      </c>
      <c r="M14" s="72">
        <f t="shared" si="4"/>
        <v>606309.31284000014</v>
      </c>
      <c r="N14" s="72">
        <f t="shared" si="4"/>
        <v>662703.38386560022</v>
      </c>
      <c r="O14" s="72">
        <f>O11*O13</f>
        <v>717534.19955448026</v>
      </c>
      <c r="P14" s="72">
        <f t="shared" si="4"/>
        <v>755014.80950767908</v>
      </c>
      <c r="Q14" s="72">
        <f t="shared" si="4"/>
        <v>770115.10569783265</v>
      </c>
    </row>
    <row r="15" spans="1:28" x14ac:dyDescent="0.25">
      <c r="A15" s="100">
        <v>0.25</v>
      </c>
      <c r="B15" s="4" t="s">
        <v>39</v>
      </c>
      <c r="C15" s="82">
        <v>157547.84640000001</v>
      </c>
      <c r="D15" s="82">
        <v>214757.29049999997</v>
      </c>
      <c r="E15" s="82">
        <v>303026.64979999996</v>
      </c>
      <c r="F15" s="82">
        <v>374455.95120000001</v>
      </c>
      <c r="G15" s="72">
        <v>304056.31560799998</v>
      </c>
      <c r="H15" s="72">
        <v>312145.50133200001</v>
      </c>
      <c r="I15" s="72">
        <v>330661.33553799998</v>
      </c>
      <c r="J15" s="72">
        <v>345315.33</v>
      </c>
      <c r="K15" s="72">
        <f t="shared" ref="K15:Q15" si="5">K14*(1-$A$15)</f>
        <v>365551.2</v>
      </c>
      <c r="L15" s="72">
        <f t="shared" si="5"/>
        <v>412158.978</v>
      </c>
      <c r="M15" s="72">
        <f t="shared" si="5"/>
        <v>454731.98463000008</v>
      </c>
      <c r="N15" s="72">
        <f t="shared" si="5"/>
        <v>497027.53789920016</v>
      </c>
      <c r="O15" s="72">
        <f>O14*(1-$A$15)</f>
        <v>538150.64966586023</v>
      </c>
      <c r="P15" s="72">
        <f t="shared" si="5"/>
        <v>566261.10713075928</v>
      </c>
      <c r="Q15" s="72">
        <f t="shared" si="5"/>
        <v>577586.32927337452</v>
      </c>
    </row>
    <row r="16" spans="1:28" ht="32.25" hidden="1" thickBot="1" x14ac:dyDescent="0.3">
      <c r="A16" s="13" t="s">
        <v>6</v>
      </c>
      <c r="B16" s="14"/>
      <c r="C16" s="15">
        <f t="shared" ref="C16:J16" si="6">C15/C14</f>
        <v>0.73448496481126047</v>
      </c>
      <c r="D16" s="15">
        <f t="shared" si="6"/>
        <v>0.69974358974358963</v>
      </c>
      <c r="E16" s="15">
        <f t="shared" si="6"/>
        <v>0.69870908252650976</v>
      </c>
      <c r="F16" s="15">
        <f t="shared" si="6"/>
        <v>0.70127418593676272</v>
      </c>
      <c r="G16" s="15">
        <f t="shared" si="6"/>
        <v>0.73047077082255563</v>
      </c>
      <c r="H16" s="15">
        <f t="shared" si="6"/>
        <v>0.73019741652449421</v>
      </c>
      <c r="I16" s="15">
        <f t="shared" si="6"/>
        <v>0.73224043715846987</v>
      </c>
      <c r="J16" s="15">
        <f t="shared" si="6"/>
        <v>0.80599288979177253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184.80296335501123</v>
      </c>
      <c r="H17" s="72">
        <f>H15/H18</f>
        <v>189.7195048513949</v>
      </c>
      <c r="I17" s="72">
        <f t="shared" ref="I17:O17" si="7">I15/I18</f>
        <v>200.97327875645777</v>
      </c>
      <c r="J17" s="72">
        <f>J15/J18</f>
        <v>209.87985777669726</v>
      </c>
      <c r="K17" s="72">
        <f t="shared" si="7"/>
        <v>222.17905549139977</v>
      </c>
      <c r="L17" s="72">
        <f t="shared" si="7"/>
        <v>250.50688506655322</v>
      </c>
      <c r="M17" s="72">
        <f t="shared" si="7"/>
        <v>276.38241331672043</v>
      </c>
      <c r="N17" s="72">
        <f t="shared" si="7"/>
        <v>302.08930766376966</v>
      </c>
      <c r="O17" s="72">
        <f t="shared" si="7"/>
        <v>327.08360157166487</v>
      </c>
      <c r="P17" s="72">
        <f>P15/P18</f>
        <v>344.16890970082011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1645.3</v>
      </c>
      <c r="H18" s="72">
        <f>G18*1</f>
        <v>1645.3</v>
      </c>
      <c r="I18" s="72">
        <f t="shared" ref="I18:P18" si="8">H18*1</f>
        <v>1645.3</v>
      </c>
      <c r="J18" s="72">
        <f t="shared" si="8"/>
        <v>1645.3</v>
      </c>
      <c r="K18" s="72">
        <f t="shared" si="8"/>
        <v>1645.3</v>
      </c>
      <c r="L18" s="72">
        <f t="shared" si="8"/>
        <v>1645.3</v>
      </c>
      <c r="M18" s="72">
        <f t="shared" si="8"/>
        <v>1645.3</v>
      </c>
      <c r="N18" s="72">
        <f t="shared" si="8"/>
        <v>1645.3</v>
      </c>
      <c r="O18" s="72">
        <f t="shared" si="8"/>
        <v>1645.3</v>
      </c>
      <c r="P18" s="72">
        <f t="shared" si="8"/>
        <v>1645.3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276603.42561564699</v>
      </c>
      <c r="H19" s="53">
        <f>H15/(1+$C$55)^2</f>
        <v>258323.62810854401</v>
      </c>
      <c r="I19" s="53">
        <f>I15/(1+$C$55)^3</f>
        <v>248939.60301885958</v>
      </c>
      <c r="J19" s="53">
        <f>J15/(1+$C$55)^4</f>
        <v>236499.35561892623</v>
      </c>
      <c r="K19" s="53">
        <f>K15/(1+$C$55)^5</f>
        <v>227753.91048390302</v>
      </c>
      <c r="L19" s="53">
        <f>L15/(1+$C$55)^6</f>
        <v>233607.03577038946</v>
      </c>
      <c r="M19" s="53">
        <f>M15/(1+$C$55)^7</f>
        <v>234466.16624580105</v>
      </c>
      <c r="N19" s="53">
        <f>N15/(1+$C$55)^8</f>
        <v>233135.63302272442</v>
      </c>
      <c r="O19" s="53">
        <f>O15/(1+$C$55)^9</f>
        <v>229633.68772449598</v>
      </c>
      <c r="P19" s="53">
        <f>P15/(1+$C$55)^10</f>
        <v>219812.30015201721</v>
      </c>
      <c r="Q19" s="54">
        <f>(Q15/(C55-Q12))/(1+C55)^10</f>
        <v>2829129.9199376353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45080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6385409.2999999998</v>
      </c>
      <c r="D49" s="47">
        <f>SUM(G19:Q19)</f>
        <v>5227904.6656989437</v>
      </c>
      <c r="E49" s="46" t="s">
        <v>47</v>
      </c>
    </row>
    <row r="50" spans="1:17" x14ac:dyDescent="0.25">
      <c r="A50" s="45"/>
      <c r="B50" s="46" t="s">
        <v>11</v>
      </c>
      <c r="C50" s="56">
        <v>1645.3</v>
      </c>
      <c r="D50" s="56">
        <f>C50</f>
        <v>1645.3</v>
      </c>
      <c r="E50" s="46"/>
    </row>
    <row r="51" spans="1:17" x14ac:dyDescent="0.25">
      <c r="A51" s="45"/>
      <c r="B51" s="46" t="s">
        <v>13</v>
      </c>
      <c r="C51" s="87">
        <v>3881</v>
      </c>
      <c r="D51" s="56">
        <f>D49/(D50)</f>
        <v>3177.4780682543874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0.22140890247972878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4450596024.132514</v>
      </c>
      <c r="E57" s="46"/>
      <c r="F57" s="1" t="s">
        <v>23</v>
      </c>
      <c r="H57" s="1">
        <f>G15/(1+$B$57)</f>
        <v>274419.05740794219</v>
      </c>
      <c r="I57" s="1">
        <f>H15/(1+$B$57)^2</f>
        <v>254259.71709848943</v>
      </c>
      <c r="J57" s="1">
        <f>I15/(1+$B$57)^3</f>
        <v>243088.34359180715</v>
      </c>
      <c r="K57" s="1">
        <f>J15/(1+$B$57)^4</f>
        <v>229116.73793067088</v>
      </c>
      <c r="L57" s="1">
        <f>K15/(1+$B$57)^5</f>
        <v>218901.83992884823</v>
      </c>
      <c r="M57" s="1">
        <f>L15/(1+$B$57)^6</f>
        <v>222754.35425972595</v>
      </c>
      <c r="N57" s="1">
        <f>M15/(1+$B$57)^7</f>
        <v>221807.98659282172</v>
      </c>
      <c r="O57" s="1">
        <f>N15/(1+$B$57)^8</f>
        <v>218807.58279001329</v>
      </c>
      <c r="P57" s="1">
        <f>O15/(1+$B$57)^9</f>
        <v>213818.86770190505</v>
      </c>
      <c r="Q57" s="1">
        <f>(Q15/(B57-Q12))/(1+B57)^10</f>
        <v>2353621.5368302907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27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9292.5605619221424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1253.8928887752447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(E66*0.25315)*-1</f>
        <v>-317.42298479345317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10229.030465903934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1.6356687621499444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0.10176528160648002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2:AB74"/>
  <sheetViews>
    <sheetView tabSelected="1" topLeftCell="A2" zoomScaleNormal="100" workbookViewId="0">
      <selection activeCell="E68" sqref="E68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17" width="16.25" style="1" customWidth="1"/>
    <col min="18" max="18" width="10.625" style="1" customWidth="1"/>
    <col min="19" max="16384" width="10.625" style="1"/>
  </cols>
  <sheetData>
    <row r="2" spans="1:28" ht="26.25" x14ac:dyDescent="0.4">
      <c r="B2" s="31" t="s">
        <v>10</v>
      </c>
    </row>
    <row r="4" spans="1:28" x14ac:dyDescent="0.25">
      <c r="B4" s="22" t="s">
        <v>46</v>
      </c>
    </row>
    <row r="6" spans="1:28" x14ac:dyDescent="0.25">
      <c r="B6" s="1" t="s">
        <v>33</v>
      </c>
    </row>
    <row r="9" spans="1:28" s="8" customFormat="1" x14ac:dyDescent="0.25">
      <c r="G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>
        <v>2019</v>
      </c>
      <c r="D10" s="11">
        <v>2020</v>
      </c>
      <c r="E10" s="11">
        <v>2021</v>
      </c>
      <c r="F10" s="11">
        <v>2022</v>
      </c>
      <c r="G10" s="55">
        <v>2023</v>
      </c>
      <c r="H10" s="55">
        <v>2024</v>
      </c>
      <c r="I10" s="55">
        <v>2025</v>
      </c>
      <c r="J10" s="55">
        <v>2026</v>
      </c>
      <c r="K10" s="55">
        <v>2027</v>
      </c>
      <c r="L10" s="55">
        <v>2028</v>
      </c>
      <c r="M10" s="55">
        <v>2029</v>
      </c>
      <c r="N10" s="55">
        <v>2030</v>
      </c>
      <c r="O10" s="55">
        <v>2031</v>
      </c>
      <c r="P10" s="55">
        <v>2032</v>
      </c>
      <c r="Q10" s="55" t="s">
        <v>41</v>
      </c>
    </row>
    <row r="11" spans="1:28" x14ac:dyDescent="0.25">
      <c r="A11" s="5"/>
      <c r="B11" s="4" t="s">
        <v>4</v>
      </c>
      <c r="C11" s="82">
        <v>686184</v>
      </c>
      <c r="D11" s="82">
        <v>786945</v>
      </c>
      <c r="E11" s="82">
        <v>999758</v>
      </c>
      <c r="F11" s="82">
        <v>1259946</v>
      </c>
      <c r="G11" s="72">
        <f t="shared" ref="G11" si="0">F11*(1+G12)</f>
        <v>1335542.76</v>
      </c>
      <c r="H11" s="72">
        <f t="shared" ref="H11" si="1">G11*(1+H12)</f>
        <v>1415675.3256000001</v>
      </c>
      <c r="I11" s="72">
        <f t="shared" ref="I11" si="2">H11*(1+I12)</f>
        <v>1500615.8451360001</v>
      </c>
      <c r="J11" s="72">
        <f t="shared" ref="J11" si="3">I11*(1+J12)</f>
        <v>1590652.7958441603</v>
      </c>
      <c r="K11" s="72">
        <f t="shared" ref="K11" si="4">J11*(1+K12)</f>
        <v>1686091.9635948099</v>
      </c>
      <c r="L11" s="72">
        <f t="shared" ref="L11" si="5">K11*(1+L12)</f>
        <v>1787257.4814104985</v>
      </c>
      <c r="M11" s="72">
        <f t="shared" ref="M11:Q11" si="6">L11*(1+M12)</f>
        <v>1894492.9302951286</v>
      </c>
      <c r="N11" s="72">
        <f t="shared" si="6"/>
        <v>2008162.5061128365</v>
      </c>
      <c r="O11" s="72">
        <f t="shared" si="6"/>
        <v>2128652.256479607</v>
      </c>
      <c r="P11" s="72">
        <f t="shared" si="6"/>
        <v>2213798.3467387911</v>
      </c>
      <c r="Q11" s="72">
        <f t="shared" si="6"/>
        <v>2258074.313673567</v>
      </c>
    </row>
    <row r="12" spans="1:28" x14ac:dyDescent="0.25">
      <c r="A12" s="5"/>
      <c r="B12" s="4" t="s">
        <v>1</v>
      </c>
      <c r="C12" s="86"/>
      <c r="D12" s="89">
        <f t="shared" ref="D12:F12" si="7">D11/C11-1</f>
        <v>0.14684253786156476</v>
      </c>
      <c r="E12" s="89">
        <f t="shared" si="7"/>
        <v>0.27042931844029772</v>
      </c>
      <c r="F12" s="89">
        <f t="shared" si="7"/>
        <v>0.26025098073733854</v>
      </c>
      <c r="G12" s="85">
        <v>0.06</v>
      </c>
      <c r="H12" s="85">
        <f>G12</f>
        <v>0.06</v>
      </c>
      <c r="I12" s="85">
        <f t="shared" ref="I12:O12" si="8">H12</f>
        <v>0.06</v>
      </c>
      <c r="J12" s="85">
        <f t="shared" si="8"/>
        <v>0.06</v>
      </c>
      <c r="K12" s="85">
        <f t="shared" si="8"/>
        <v>0.06</v>
      </c>
      <c r="L12" s="85">
        <f t="shared" si="8"/>
        <v>0.06</v>
      </c>
      <c r="M12" s="85">
        <f t="shared" si="8"/>
        <v>0.06</v>
      </c>
      <c r="N12" s="85">
        <f t="shared" si="8"/>
        <v>0.06</v>
      </c>
      <c r="O12" s="85">
        <f t="shared" si="8"/>
        <v>0.06</v>
      </c>
      <c r="P12" s="85">
        <v>0.04</v>
      </c>
      <c r="Q12" s="85">
        <v>0.02</v>
      </c>
    </row>
    <row r="13" spans="1:28" ht="15.95" customHeight="1" x14ac:dyDescent="0.25">
      <c r="A13" s="5"/>
      <c r="B13" s="4" t="s">
        <v>15</v>
      </c>
      <c r="C13" s="88">
        <v>0.15720000000000001</v>
      </c>
      <c r="D13" s="88">
        <v>0.13320000000000001</v>
      </c>
      <c r="E13" s="88">
        <v>0.14480000000000001</v>
      </c>
      <c r="F13" s="88">
        <v>0.1469</v>
      </c>
      <c r="G13" s="84">
        <v>0.3866</v>
      </c>
      <c r="H13" s="84">
        <v>0.4103</v>
      </c>
      <c r="I13" s="84">
        <v>0.4209</v>
      </c>
      <c r="J13" s="84">
        <v>0.39379999999999998</v>
      </c>
      <c r="K13" s="84">
        <v>0.4</v>
      </c>
      <c r="L13" s="84">
        <v>0.41</v>
      </c>
      <c r="M13" s="84">
        <v>0.41499999999999998</v>
      </c>
      <c r="N13" s="84">
        <v>0.42</v>
      </c>
      <c r="O13" s="84">
        <v>0.42499999999999999</v>
      </c>
      <c r="P13" s="84">
        <v>0.43</v>
      </c>
      <c r="Q13" s="84">
        <v>0.43</v>
      </c>
    </row>
    <row r="14" spans="1:28" ht="17.100000000000001" customHeight="1" x14ac:dyDescent="0.25">
      <c r="A14" s="5"/>
      <c r="B14" s="4" t="s">
        <v>16</v>
      </c>
      <c r="C14" s="82">
        <f>C11*C13</f>
        <v>107868.12480000001</v>
      </c>
      <c r="D14" s="82">
        <f t="shared" ref="D14:Q14" si="9">D11*D13</f>
        <v>104821.07400000001</v>
      </c>
      <c r="E14" s="82">
        <f t="shared" si="9"/>
        <v>144764.9584</v>
      </c>
      <c r="F14" s="82">
        <f t="shared" si="9"/>
        <v>185086.0674</v>
      </c>
      <c r="G14" s="72">
        <f t="shared" si="9"/>
        <v>516320.83101600001</v>
      </c>
      <c r="H14" s="72">
        <f t="shared" si="9"/>
        <v>580851.58609368</v>
      </c>
      <c r="I14" s="72">
        <f t="shared" si="9"/>
        <v>631609.20921774243</v>
      </c>
      <c r="J14" s="72">
        <f t="shared" si="9"/>
        <v>626399.07100343029</v>
      </c>
      <c r="K14" s="72">
        <f t="shared" si="9"/>
        <v>674436.78543792397</v>
      </c>
      <c r="L14" s="72">
        <f t="shared" si="9"/>
        <v>732775.56737830432</v>
      </c>
      <c r="M14" s="72">
        <f t="shared" si="9"/>
        <v>786214.56607247831</v>
      </c>
      <c r="N14" s="72">
        <f t="shared" si="9"/>
        <v>843428.25256739126</v>
      </c>
      <c r="O14" s="72">
        <f>O11*O13</f>
        <v>904677.20900383289</v>
      </c>
      <c r="P14" s="72">
        <f t="shared" si="9"/>
        <v>951933.28909768013</v>
      </c>
      <c r="Q14" s="72">
        <f t="shared" si="9"/>
        <v>970971.95487963385</v>
      </c>
    </row>
    <row r="15" spans="1:28" x14ac:dyDescent="0.25">
      <c r="A15" s="100">
        <v>0.25</v>
      </c>
      <c r="B15" s="4" t="s">
        <v>39</v>
      </c>
      <c r="C15" s="82">
        <v>157547.84640000001</v>
      </c>
      <c r="D15" s="82">
        <v>214757.29049999997</v>
      </c>
      <c r="E15" s="82">
        <v>303026.64979999996</v>
      </c>
      <c r="F15" s="82">
        <v>374455.95120000001</v>
      </c>
      <c r="G15" s="72">
        <v>304056.31560799998</v>
      </c>
      <c r="H15" s="72">
        <v>312145.50133200001</v>
      </c>
      <c r="I15" s="72">
        <v>330661.33553799998</v>
      </c>
      <c r="J15" s="72">
        <v>345315.33</v>
      </c>
      <c r="K15" s="72">
        <f t="shared" ref="K15:Q15" si="10">K14*(1-$A$15)</f>
        <v>505827.58907844301</v>
      </c>
      <c r="L15" s="72">
        <f t="shared" si="10"/>
        <v>549581.67553372821</v>
      </c>
      <c r="M15" s="72">
        <f t="shared" si="10"/>
        <v>589660.9245543587</v>
      </c>
      <c r="N15" s="72">
        <f t="shared" si="10"/>
        <v>632571.18942554342</v>
      </c>
      <c r="O15" s="72">
        <f>O14*(1-$A$15)</f>
        <v>678507.90675287461</v>
      </c>
      <c r="P15" s="72">
        <f t="shared" si="10"/>
        <v>713949.96682326007</v>
      </c>
      <c r="Q15" s="72">
        <f t="shared" si="10"/>
        <v>728228.96615972533</v>
      </c>
    </row>
    <row r="16" spans="1:28" ht="32.25" hidden="1" thickBot="1" x14ac:dyDescent="0.3">
      <c r="A16" s="13" t="s">
        <v>6</v>
      </c>
      <c r="B16" s="14"/>
      <c r="C16" s="15">
        <f t="shared" ref="C16:J16" si="11">C15/C14</f>
        <v>1.4605597964376591</v>
      </c>
      <c r="D16" s="15">
        <f t="shared" si="11"/>
        <v>2.0487987987987983</v>
      </c>
      <c r="E16" s="15">
        <f t="shared" si="11"/>
        <v>2.0932320441988947</v>
      </c>
      <c r="F16" s="15">
        <f t="shared" si="11"/>
        <v>2.023144996596324</v>
      </c>
      <c r="G16" s="15">
        <f t="shared" si="11"/>
        <v>0.588890273920747</v>
      </c>
      <c r="H16" s="15">
        <f t="shared" si="11"/>
        <v>0.5373928707524559</v>
      </c>
      <c r="I16" s="15">
        <f t="shared" si="11"/>
        <v>0.52352203025590627</v>
      </c>
      <c r="J16" s="15">
        <f t="shared" si="11"/>
        <v>0.55127050148212786</v>
      </c>
    </row>
    <row r="17" spans="1:18" x14ac:dyDescent="0.25">
      <c r="A17" s="2" t="s">
        <v>36</v>
      </c>
      <c r="C17" s="82"/>
      <c r="D17" s="82"/>
      <c r="E17" s="82"/>
      <c r="F17" s="82"/>
      <c r="G17" s="72">
        <f>G15/G18</f>
        <v>184.80296335501123</v>
      </c>
      <c r="H17" s="72">
        <f t="shared" ref="H17:O17" si="12">H15/H18</f>
        <v>189.7195048513949</v>
      </c>
      <c r="I17" s="72">
        <f t="shared" si="12"/>
        <v>200.97327875645777</v>
      </c>
      <c r="J17" s="72">
        <f t="shared" si="12"/>
        <v>209.87985777669726</v>
      </c>
      <c r="K17" s="72">
        <f t="shared" si="12"/>
        <v>307.43790742019269</v>
      </c>
      <c r="L17" s="72">
        <f t="shared" si="12"/>
        <v>334.03128641203926</v>
      </c>
      <c r="M17" s="72">
        <f t="shared" si="12"/>
        <v>358.39112900647831</v>
      </c>
      <c r="N17" s="72">
        <f t="shared" si="12"/>
        <v>384.47164008116664</v>
      </c>
      <c r="O17" s="72">
        <f t="shared" si="12"/>
        <v>412.39160442039423</v>
      </c>
      <c r="P17" s="72">
        <f>P15/P18</f>
        <v>433.93300116894187</v>
      </c>
      <c r="Q17" s="72"/>
    </row>
    <row r="18" spans="1:18" ht="32.25" thickBot="1" x14ac:dyDescent="0.3">
      <c r="A18" s="2" t="s">
        <v>38</v>
      </c>
      <c r="C18" s="82"/>
      <c r="D18" s="82"/>
      <c r="E18" s="82"/>
      <c r="F18" s="82"/>
      <c r="G18" s="72">
        <f>C50</f>
        <v>1645.3</v>
      </c>
      <c r="H18" s="72">
        <f>G18*1</f>
        <v>1645.3</v>
      </c>
      <c r="I18" s="72">
        <f t="shared" ref="I18:P18" si="13">H18*1</f>
        <v>1645.3</v>
      </c>
      <c r="J18" s="72">
        <f t="shared" si="13"/>
        <v>1645.3</v>
      </c>
      <c r="K18" s="72">
        <f t="shared" si="13"/>
        <v>1645.3</v>
      </c>
      <c r="L18" s="72">
        <f t="shared" si="13"/>
        <v>1645.3</v>
      </c>
      <c r="M18" s="72">
        <f t="shared" si="13"/>
        <v>1645.3</v>
      </c>
      <c r="N18" s="72">
        <f t="shared" si="13"/>
        <v>1645.3</v>
      </c>
      <c r="O18" s="72">
        <f t="shared" si="13"/>
        <v>1645.3</v>
      </c>
      <c r="P18" s="72">
        <f t="shared" si="13"/>
        <v>1645.3</v>
      </c>
      <c r="Q18" s="72"/>
    </row>
    <row r="19" spans="1:18" ht="16.5" thickBot="1" x14ac:dyDescent="0.3">
      <c r="A19" s="2"/>
      <c r="E19" s="51" t="s">
        <v>12</v>
      </c>
      <c r="F19" s="52"/>
      <c r="G19" s="53">
        <f>G15/(1+$C$55)</f>
        <v>276603.42561564699</v>
      </c>
      <c r="H19" s="53">
        <f>H15/(1+$C$55)^2</f>
        <v>258323.62810854401</v>
      </c>
      <c r="I19" s="53">
        <f>I15/(1+$C$55)^3</f>
        <v>248939.60301885958</v>
      </c>
      <c r="J19" s="53">
        <f>J15/(1+$C$55)^4</f>
        <v>236499.35561892623</v>
      </c>
      <c r="K19" s="53">
        <f>K15/(1+$C$55)^5</f>
        <v>315152.05378414894</v>
      </c>
      <c r="L19" s="53">
        <f>L15/(1+$C$55)^6</f>
        <v>311496.66266679799</v>
      </c>
      <c r="M19" s="53">
        <f>M15/(1+$C$55)^7</f>
        <v>304037.41332976357</v>
      </c>
      <c r="N19" s="53">
        <f>N15/(1+$C$55)^8</f>
        <v>296713.70987208857</v>
      </c>
      <c r="O19" s="53">
        <f>O15/(1+$C$55)^9</f>
        <v>289525.38266865048</v>
      </c>
      <c r="P19" s="53">
        <f>P15/(1+$C$55)^10</f>
        <v>277142.43910563726</v>
      </c>
      <c r="Q19" s="54">
        <f>(Q15/(C55-Q12))/(1+C55)^10</f>
        <v>3567006.7872271296</v>
      </c>
    </row>
    <row r="20" spans="1:18" x14ac:dyDescent="0.25">
      <c r="A20" s="2"/>
      <c r="C20" s="75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J21" s="101"/>
      <c r="K21" s="101"/>
      <c r="L21" s="101"/>
      <c r="M21" s="101"/>
      <c r="N21" s="101"/>
      <c r="O21" s="101"/>
      <c r="P21" s="101"/>
      <c r="Q21" s="101"/>
      <c r="R21" s="3"/>
    </row>
    <row r="22" spans="1:18" ht="16.5" thickBot="1" x14ac:dyDescent="0.3">
      <c r="P22" s="3"/>
      <c r="Q22" s="3"/>
      <c r="R22" s="3"/>
    </row>
    <row r="23" spans="1:18" x14ac:dyDescent="0.25">
      <c r="A23" s="32" t="s">
        <v>24</v>
      </c>
      <c r="B23" s="33"/>
      <c r="C23" s="33"/>
      <c r="D23" s="34"/>
      <c r="E23" s="23"/>
      <c r="F23" s="33"/>
      <c r="G23" s="59" t="s">
        <v>25</v>
      </c>
      <c r="H23" s="23"/>
      <c r="I23" s="78">
        <v>3.7499999999999999E-2</v>
      </c>
      <c r="J23" s="24" t="s">
        <v>26</v>
      </c>
    </row>
    <row r="24" spans="1:18" x14ac:dyDescent="0.25">
      <c r="A24" s="35"/>
      <c r="B24" s="36"/>
      <c r="C24" s="36"/>
      <c r="D24" s="37"/>
      <c r="E24" s="36"/>
      <c r="F24" s="36"/>
      <c r="G24" s="25"/>
      <c r="I24" s="79"/>
      <c r="J24" s="26"/>
    </row>
    <row r="25" spans="1:18" x14ac:dyDescent="0.25">
      <c r="A25" s="35"/>
      <c r="B25" s="36"/>
      <c r="C25" s="36"/>
      <c r="D25" s="38"/>
      <c r="F25" s="36"/>
      <c r="G25" s="25" t="s">
        <v>27</v>
      </c>
      <c r="I25" s="80">
        <f>(I27-I23)*I29</f>
        <v>6.1750000000000013E-2</v>
      </c>
      <c r="J25" s="26"/>
    </row>
    <row r="26" spans="1:18" x14ac:dyDescent="0.25">
      <c r="A26" s="35"/>
      <c r="B26" s="36"/>
      <c r="C26" s="36"/>
      <c r="D26" s="38"/>
      <c r="F26" s="36"/>
      <c r="G26" s="25"/>
      <c r="I26" s="79"/>
      <c r="J26" s="26"/>
    </row>
    <row r="27" spans="1:18" x14ac:dyDescent="0.25">
      <c r="A27" s="35"/>
      <c r="B27" s="36"/>
      <c r="C27" s="36"/>
      <c r="D27" s="38"/>
      <c r="F27" s="36"/>
      <c r="G27" s="25" t="s">
        <v>28</v>
      </c>
      <c r="I27" s="81">
        <v>7.0000000000000007E-2</v>
      </c>
      <c r="J27" s="26" t="s">
        <v>29</v>
      </c>
    </row>
    <row r="28" spans="1:18" x14ac:dyDescent="0.25">
      <c r="A28" s="35"/>
      <c r="B28" s="36"/>
      <c r="C28" s="36"/>
      <c r="D28" s="39"/>
      <c r="F28" s="36"/>
      <c r="G28" s="25"/>
      <c r="I28" s="79"/>
      <c r="J28" s="26"/>
    </row>
    <row r="29" spans="1:18" x14ac:dyDescent="0.25">
      <c r="A29" s="35"/>
      <c r="B29" s="36"/>
      <c r="C29" s="36"/>
      <c r="D29" s="39"/>
      <c r="F29" s="36"/>
      <c r="G29" s="25" t="s">
        <v>35</v>
      </c>
      <c r="I29" s="79">
        <v>1.9</v>
      </c>
      <c r="J29" s="26" t="s">
        <v>30</v>
      </c>
    </row>
    <row r="30" spans="1:18" x14ac:dyDescent="0.25">
      <c r="A30" s="35"/>
      <c r="B30" s="36"/>
      <c r="C30" s="36"/>
      <c r="D30" s="40"/>
      <c r="F30" s="36"/>
      <c r="G30" s="25"/>
      <c r="I30" s="79"/>
      <c r="J30" s="26"/>
    </row>
    <row r="31" spans="1:18" x14ac:dyDescent="0.25">
      <c r="A31" s="35"/>
      <c r="B31" s="36"/>
      <c r="C31" s="36"/>
      <c r="D31" s="37"/>
      <c r="F31" s="36"/>
      <c r="G31" s="25" t="s">
        <v>31</v>
      </c>
      <c r="I31" s="81">
        <f>I23+(I27-I23)*I29</f>
        <v>9.9250000000000005E-2</v>
      </c>
      <c r="J31" s="26" t="s">
        <v>32</v>
      </c>
    </row>
    <row r="32" spans="1:18" x14ac:dyDescent="0.25">
      <c r="A32" s="25"/>
      <c r="C32" s="41"/>
      <c r="E32" s="36"/>
      <c r="F32" s="36"/>
      <c r="G32" s="25"/>
      <c r="J32" s="26"/>
    </row>
    <row r="33" spans="1:10" x14ac:dyDescent="0.25">
      <c r="A33" s="25"/>
      <c r="G33" s="76" t="s">
        <v>34</v>
      </c>
      <c r="H33" s="22"/>
      <c r="I33" s="77">
        <f>I31</f>
        <v>9.9250000000000005E-2</v>
      </c>
      <c r="J33" s="26"/>
    </row>
    <row r="34" spans="1:10" x14ac:dyDescent="0.25">
      <c r="A34" s="35" t="s">
        <v>7</v>
      </c>
      <c r="B34" s="36"/>
      <c r="C34" s="42"/>
      <c r="D34" s="27"/>
      <c r="G34" s="25"/>
      <c r="J34" s="26"/>
    </row>
    <row r="35" spans="1:10" ht="15.75" hidden="1" customHeight="1" x14ac:dyDescent="0.25">
      <c r="A35" s="25"/>
      <c r="G35" s="25"/>
      <c r="J35" s="26"/>
    </row>
    <row r="36" spans="1:10" ht="15.75" hidden="1" customHeight="1" x14ac:dyDescent="0.25">
      <c r="A36" s="25"/>
      <c r="B36" s="1" t="s">
        <v>8</v>
      </c>
      <c r="D36" s="43">
        <v>0.08</v>
      </c>
      <c r="G36" s="25"/>
      <c r="J36" s="26"/>
    </row>
    <row r="37" spans="1:10" ht="15.75" hidden="1" customHeight="1" x14ac:dyDescent="0.25">
      <c r="A37" s="25"/>
      <c r="G37" s="25"/>
      <c r="J37" s="26"/>
    </row>
    <row r="38" spans="1:10" ht="15.75" hidden="1" customHeight="1" x14ac:dyDescent="0.25">
      <c r="A38" s="25"/>
      <c r="G38" s="25"/>
      <c r="J38" s="26"/>
    </row>
    <row r="39" spans="1:10" ht="15.75" hidden="1" customHeight="1" x14ac:dyDescent="0.25">
      <c r="A39" s="25"/>
      <c r="G39" s="25"/>
      <c r="J39" s="26"/>
    </row>
    <row r="40" spans="1:10" hidden="1" x14ac:dyDescent="0.25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5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5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5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5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5">
      <c r="A45" s="25"/>
      <c r="G45" s="25"/>
      <c r="J45" s="26"/>
    </row>
    <row r="46" spans="1:10" ht="16.5" thickBot="1" x14ac:dyDescent="0.3">
      <c r="A46" s="28"/>
      <c r="B46" s="29" t="s">
        <v>20</v>
      </c>
      <c r="C46" s="29"/>
      <c r="D46" s="44">
        <f>I33</f>
        <v>9.9250000000000005E-2</v>
      </c>
      <c r="E46" s="29"/>
      <c r="F46" s="29"/>
      <c r="G46" s="28"/>
      <c r="H46" s="29"/>
      <c r="I46" s="29"/>
      <c r="J46" s="30"/>
    </row>
    <row r="48" spans="1:10" x14ac:dyDescent="0.25">
      <c r="A48" s="16"/>
      <c r="B48" s="17"/>
      <c r="C48" s="83">
        <v>45080</v>
      </c>
      <c r="D48" s="18" t="s">
        <v>3</v>
      </c>
      <c r="E48" s="19"/>
      <c r="F48" s="20"/>
      <c r="G48" s="21"/>
      <c r="H48" s="21"/>
      <c r="I48" s="21"/>
    </row>
    <row r="49" spans="1:17" x14ac:dyDescent="0.25">
      <c r="A49" s="45" t="s">
        <v>0</v>
      </c>
      <c r="B49" s="46" t="s">
        <v>5</v>
      </c>
      <c r="C49" s="56">
        <f>C50*C51</f>
        <v>6385409.2999999998</v>
      </c>
      <c r="D49" s="47">
        <f>SUM(G19:Q19)</f>
        <v>6381440.461016193</v>
      </c>
      <c r="E49" s="46" t="s">
        <v>47</v>
      </c>
    </row>
    <row r="50" spans="1:17" x14ac:dyDescent="0.25">
      <c r="A50" s="45"/>
      <c r="B50" s="46" t="s">
        <v>11</v>
      </c>
      <c r="C50" s="56">
        <v>1645.3</v>
      </c>
      <c r="D50" s="56">
        <f>C50</f>
        <v>1645.3</v>
      </c>
      <c r="E50" s="46"/>
    </row>
    <row r="51" spans="1:17" x14ac:dyDescent="0.25">
      <c r="A51" s="45"/>
      <c r="B51" s="46" t="s">
        <v>13</v>
      </c>
      <c r="C51" s="87">
        <v>3881</v>
      </c>
      <c r="D51" s="87">
        <f>D49/(D50)</f>
        <v>3878.5877718447659</v>
      </c>
      <c r="E51" s="46" t="s">
        <v>47</v>
      </c>
    </row>
    <row r="52" spans="1:17" x14ac:dyDescent="0.25">
      <c r="A52" s="45"/>
      <c r="B52" s="46" t="s">
        <v>2</v>
      </c>
      <c r="C52" s="46"/>
      <c r="D52" s="57">
        <f>IF(C51/D51-1&gt;0,0,C51/D51-1)*-1</f>
        <v>0</v>
      </c>
      <c r="E52" s="46"/>
    </row>
    <row r="53" spans="1:17" x14ac:dyDescent="0.25">
      <c r="A53" s="45"/>
      <c r="B53" s="46" t="s">
        <v>14</v>
      </c>
      <c r="C53" s="46"/>
      <c r="D53" s="58">
        <f>IF(C51/D51-1&lt;0,0,C51/D51-1)</f>
        <v>6.2193465692450545E-4</v>
      </c>
      <c r="E53" s="46"/>
    </row>
    <row r="54" spans="1:17" x14ac:dyDescent="0.25">
      <c r="A54" s="46"/>
      <c r="B54" s="46"/>
      <c r="C54" s="46"/>
      <c r="D54" s="48"/>
      <c r="E54" s="48"/>
    </row>
    <row r="55" spans="1:17" x14ac:dyDescent="0.25">
      <c r="A55" s="48" t="s">
        <v>19</v>
      </c>
      <c r="B55" s="46"/>
      <c r="C55" s="50">
        <f>D46</f>
        <v>9.9250000000000005E-2</v>
      </c>
      <c r="D55" s="49"/>
      <c r="E55" s="46"/>
      <c r="J55" s="70"/>
    </row>
    <row r="56" spans="1:17" x14ac:dyDescent="0.25">
      <c r="A56" s="48"/>
      <c r="B56" s="46"/>
      <c r="C56" s="50"/>
      <c r="D56" s="49"/>
      <c r="E56" s="46"/>
    </row>
    <row r="57" spans="1:17" hidden="1" x14ac:dyDescent="0.25">
      <c r="A57" s="48" t="s">
        <v>22</v>
      </c>
      <c r="B57" s="73">
        <v>0.108</v>
      </c>
      <c r="C57" s="50"/>
      <c r="D57" s="74">
        <f>SUM(H57:Q57)*1000</f>
        <v>5403978932.9913034</v>
      </c>
      <c r="E57" s="46"/>
      <c r="F57" s="1" t="s">
        <v>23</v>
      </c>
      <c r="H57" s="1">
        <f>G15/(1+$B$57)</f>
        <v>274419.05740794219</v>
      </c>
      <c r="I57" s="1">
        <f>H15/(1+$B$57)^2</f>
        <v>254259.71709848943</v>
      </c>
      <c r="J57" s="1">
        <f>I15/(1+$B$57)^3</f>
        <v>243088.34359180715</v>
      </c>
      <c r="K57" s="1">
        <f>J15/(1+$B$57)^4</f>
        <v>229116.73793067088</v>
      </c>
      <c r="L57" s="1">
        <f>K15/(1+$B$57)^5</f>
        <v>302903.09520538995</v>
      </c>
      <c r="M57" s="1">
        <f>L15/(1+$B$57)^6</f>
        <v>297025.4629428304</v>
      </c>
      <c r="N57" s="1">
        <f>M15/(1+$B$57)^7</f>
        <v>287623.27451913164</v>
      </c>
      <c r="O57" s="1">
        <f>N15/(1+$B$57)^8</f>
        <v>278478.27805645112</v>
      </c>
      <c r="P57" s="1">
        <f>O15/(1+$B$57)^9</f>
        <v>269585.8351908871</v>
      </c>
      <c r="Q57" s="1">
        <f>(Q15/(B57-Q12))/(1+B57)^10</f>
        <v>2967479.1310477043</v>
      </c>
    </row>
    <row r="58" spans="1:17" ht="16.5" thickBot="1" x14ac:dyDescent="0.3">
      <c r="A58" s="22"/>
      <c r="C58" s="65"/>
      <c r="D58" s="66"/>
    </row>
    <row r="59" spans="1:17" x14ac:dyDescent="0.25">
      <c r="A59" s="59" t="s">
        <v>42</v>
      </c>
      <c r="B59" s="23"/>
      <c r="C59" s="67">
        <v>21</v>
      </c>
      <c r="D59" s="23"/>
      <c r="E59" s="24"/>
    </row>
    <row r="60" spans="1:17" x14ac:dyDescent="0.25">
      <c r="A60" s="25" t="s">
        <v>21</v>
      </c>
      <c r="C60" s="68" t="s">
        <v>40</v>
      </c>
      <c r="E60" s="26"/>
    </row>
    <row r="61" spans="1:17" x14ac:dyDescent="0.25">
      <c r="A61" s="25"/>
      <c r="C61" s="68"/>
      <c r="E61" s="26"/>
    </row>
    <row r="62" spans="1:17" x14ac:dyDescent="0.25">
      <c r="A62" s="25" t="s">
        <v>37</v>
      </c>
      <c r="C62" s="68"/>
      <c r="E62" s="60">
        <f>P17*C59</f>
        <v>9112.5930245477794</v>
      </c>
    </row>
    <row r="63" spans="1:17" x14ac:dyDescent="0.25">
      <c r="A63" s="25"/>
      <c r="C63" s="68"/>
      <c r="E63" s="26"/>
    </row>
    <row r="64" spans="1:17" x14ac:dyDescent="0.25">
      <c r="A64" s="25" t="s">
        <v>17</v>
      </c>
      <c r="C64" s="69">
        <v>0.5</v>
      </c>
      <c r="E64" s="26"/>
    </row>
    <row r="65" spans="1:5" x14ac:dyDescent="0.25">
      <c r="A65" s="25"/>
      <c r="E65" s="26"/>
    </row>
    <row r="66" spans="1:5" x14ac:dyDescent="0.25">
      <c r="A66" s="25" t="s">
        <v>18</v>
      </c>
      <c r="E66" s="60">
        <f>SUM(G17:Q17)*C64</f>
        <v>1508.0160866243871</v>
      </c>
    </row>
    <row r="67" spans="1:5" x14ac:dyDescent="0.25">
      <c r="A67" s="25"/>
      <c r="E67" s="61"/>
    </row>
    <row r="68" spans="1:5" x14ac:dyDescent="0.25">
      <c r="A68" s="103" t="s">
        <v>48</v>
      </c>
      <c r="E68" s="104">
        <f>(E66*0.25315)*-1</f>
        <v>-381.75427232896357</v>
      </c>
    </row>
    <row r="69" spans="1:5" x14ac:dyDescent="0.25">
      <c r="A69" s="25"/>
      <c r="C69" s="41"/>
      <c r="D69" s="41"/>
      <c r="E69" s="62"/>
    </row>
    <row r="70" spans="1:5" x14ac:dyDescent="0.25">
      <c r="A70" s="25" t="s">
        <v>43</v>
      </c>
      <c r="E70" s="60">
        <f>SUM(E62:E68)</f>
        <v>10238.854838843203</v>
      </c>
    </row>
    <row r="71" spans="1:5" x14ac:dyDescent="0.25">
      <c r="A71" s="25"/>
      <c r="E71" s="60"/>
    </row>
    <row r="72" spans="1:5" x14ac:dyDescent="0.25">
      <c r="A72" s="25" t="s">
        <v>44</v>
      </c>
      <c r="E72" s="62">
        <f>E70/C51-1</f>
        <v>1.6382001646078854</v>
      </c>
    </row>
    <row r="73" spans="1:5" x14ac:dyDescent="0.25">
      <c r="A73" s="25"/>
      <c r="E73" s="26"/>
    </row>
    <row r="74" spans="1:5" ht="16.5" thickBot="1" x14ac:dyDescent="0.3">
      <c r="A74" s="63" t="s">
        <v>45</v>
      </c>
      <c r="B74" s="64"/>
      <c r="C74" s="64"/>
      <c r="D74" s="64"/>
      <c r="E74" s="102">
        <f>(E70/C51)^(1/10)-1</f>
        <v>0.10187105387609119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Robert Hahn</cp:lastModifiedBy>
  <cp:lastPrinted>2021-08-03T18:16:56Z</cp:lastPrinted>
  <dcterms:created xsi:type="dcterms:W3CDTF">2020-02-09T06:30:31Z</dcterms:created>
  <dcterms:modified xsi:type="dcterms:W3CDTF">2023-06-03T09:24:29Z</dcterms:modified>
</cp:coreProperties>
</file>