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F21B1BFA-A1BC-4D60-9C3F-5405724D5B98}" xr6:coauthVersionLast="44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35" l="1"/>
  <c r="J18" i="35" s="1"/>
  <c r="K18" i="35" s="1"/>
  <c r="L18" i="35" s="1"/>
  <c r="M18" i="35" s="1"/>
  <c r="N18" i="35" s="1"/>
  <c r="O18" i="35" s="1"/>
  <c r="P18" i="35" s="1"/>
  <c r="H18" i="35"/>
  <c r="H18" i="32" l="1"/>
  <c r="I18" i="32" l="1"/>
  <c r="J18" i="32"/>
  <c r="K18" i="32" s="1"/>
  <c r="L18" i="32" s="1"/>
  <c r="M18" i="32" s="1"/>
  <c r="N18" i="32" s="1"/>
  <c r="O18" i="32" s="1"/>
  <c r="P18" i="32" s="1"/>
  <c r="K11" i="32" l="1"/>
  <c r="J12" i="32" l="1"/>
  <c r="J12" i="34" l="1"/>
  <c r="G11" i="35" l="1"/>
  <c r="H12" i="35" l="1"/>
  <c r="H11" i="35" s="1"/>
  <c r="I12" i="35" l="1"/>
  <c r="J12" i="35" s="1"/>
  <c r="K12" i="35" s="1"/>
  <c r="L12" i="35" s="1"/>
  <c r="M12" i="35" s="1"/>
  <c r="N12" i="35" s="1"/>
  <c r="O12" i="35" s="1"/>
  <c r="D50" i="35"/>
  <c r="C49" i="35"/>
  <c r="I31" i="35"/>
  <c r="I33" i="35" s="1"/>
  <c r="D46" i="35" s="1"/>
  <c r="C55" i="35" s="1"/>
  <c r="I25" i="35"/>
  <c r="G18" i="35"/>
  <c r="F14" i="35"/>
  <c r="F16" i="35" s="1"/>
  <c r="E14" i="35"/>
  <c r="E16" i="35" s="1"/>
  <c r="D14" i="35"/>
  <c r="D16" i="35" s="1"/>
  <c r="C14" i="35"/>
  <c r="C16" i="35" s="1"/>
  <c r="F12" i="35"/>
  <c r="E12" i="35"/>
  <c r="D12" i="35"/>
  <c r="I11" i="35" l="1"/>
  <c r="J11" i="35" s="1"/>
  <c r="K11" i="35" s="1"/>
  <c r="L11" i="35" s="1"/>
  <c r="D14" i="34" l="1"/>
  <c r="E14" i="34"/>
  <c r="F14" i="34"/>
  <c r="G14" i="34"/>
  <c r="H14" i="34"/>
  <c r="I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G14" i="32" l="1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H14" i="35" l="1"/>
  <c r="G14" i="35"/>
  <c r="I14" i="35" l="1"/>
  <c r="I57" i="35" l="1"/>
  <c r="H19" i="35"/>
  <c r="H17" i="35"/>
  <c r="H16" i="35"/>
  <c r="H57" i="35"/>
  <c r="G19" i="35"/>
  <c r="G17" i="35"/>
  <c r="G16" i="35"/>
  <c r="J14" i="35"/>
  <c r="J57" i="35" l="1"/>
  <c r="I19" i="35"/>
  <c r="I17" i="35"/>
  <c r="I16" i="35"/>
  <c r="J16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E70" i="35" l="1"/>
  <c r="E74" i="35" s="1"/>
  <c r="D52" i="35" l="1"/>
  <c r="E72" i="35"/>
  <c r="J14" i="34" l="1"/>
  <c r="J16" i="34" l="1"/>
  <c r="K11" i="34"/>
  <c r="J19" i="34" l="1"/>
  <c r="K57" i="34"/>
  <c r="J17" i="34"/>
  <c r="K14" i="34"/>
  <c r="K15" i="34" s="1"/>
  <c r="L11" i="34"/>
  <c r="L14" i="34" l="1"/>
  <c r="L15" i="34" s="1"/>
  <c r="M11" i="34"/>
  <c r="K19" i="34"/>
  <c r="K17" i="34"/>
  <c r="L57" i="34"/>
  <c r="N11" i="34" l="1"/>
  <c r="M14" i="34"/>
  <c r="M15" i="34" s="1"/>
  <c r="M57" i="34"/>
  <c r="L19" i="34"/>
  <c r="L17" i="34"/>
  <c r="M19" i="34" l="1"/>
  <c r="N57" i="34"/>
  <c r="M17" i="34"/>
  <c r="N14" i="34"/>
  <c r="N15" i="34" s="1"/>
  <c r="O11" i="34"/>
  <c r="O14" i="34" l="1"/>
  <c r="O15" i="34" s="1"/>
  <c r="P11" i="34"/>
  <c r="O57" i="34"/>
  <c r="N17" i="34"/>
  <c r="N19" i="34"/>
  <c r="Q11" i="34" l="1"/>
  <c r="Q14" i="34" s="1"/>
  <c r="Q15" i="34" s="1"/>
  <c r="P14" i="34"/>
  <c r="P15" i="34" s="1"/>
  <c r="O19" i="34"/>
  <c r="P57" i="34"/>
  <c r="O17" i="34"/>
  <c r="D43" i="34" l="1"/>
  <c r="D42" i="34"/>
  <c r="D40" i="34"/>
  <c r="D44" i="34"/>
  <c r="D41" i="34"/>
  <c r="P17" i="34"/>
  <c r="P19" i="34"/>
  <c r="Q19" i="34"/>
  <c r="Q57" i="34"/>
  <c r="D57" i="34" s="1"/>
  <c r="D49" i="34" l="1"/>
  <c r="D51" i="34" s="1"/>
  <c r="D52" i="34" s="1"/>
  <c r="E62" i="34"/>
  <c r="E66" i="34"/>
  <c r="E68" i="34" s="1"/>
  <c r="D53" i="34" l="1"/>
  <c r="E70" i="34"/>
  <c r="E74" i="34" s="1"/>
  <c r="E72" i="34" l="1"/>
  <c r="J14" i="32"/>
  <c r="J19" i="32" l="1"/>
  <c r="K57" i="32"/>
  <c r="J16" i="32"/>
  <c r="J17" i="32"/>
  <c r="L11" i="32" l="1"/>
  <c r="K14" i="32"/>
  <c r="K15" i="32" s="1"/>
  <c r="K17" i="32" l="1"/>
  <c r="L57" i="32"/>
  <c r="K19" i="32"/>
  <c r="L14" i="32"/>
  <c r="L15" i="32" s="1"/>
  <c r="M11" i="32"/>
  <c r="M14" i="32" l="1"/>
  <c r="M15" i="32" s="1"/>
  <c r="N11" i="32"/>
  <c r="L19" i="32"/>
  <c r="M57" i="32"/>
  <c r="L17" i="32"/>
  <c r="N14" i="32" l="1"/>
  <c r="N15" i="32" s="1"/>
  <c r="O11" i="32"/>
  <c r="N57" i="32"/>
  <c r="M17" i="32"/>
  <c r="M19" i="32"/>
  <c r="P11" i="32" l="1"/>
  <c r="O14" i="32"/>
  <c r="O15" i="32" s="1"/>
  <c r="O57" i="32"/>
  <c r="N19" i="32"/>
  <c r="N17" i="32"/>
  <c r="O17" i="32" l="1"/>
  <c r="P57" i="32"/>
  <c r="O19" i="32"/>
  <c r="Q11" i="32"/>
  <c r="Q14" i="32" s="1"/>
  <c r="Q15" i="32" s="1"/>
  <c r="P14" i="32"/>
  <c r="P15" i="32" s="1"/>
  <c r="D43" i="32" l="1"/>
  <c r="D44" i="32"/>
  <c r="D42" i="32"/>
  <c r="D40" i="32"/>
  <c r="D41" i="32"/>
  <c r="P19" i="32"/>
  <c r="P17" i="32"/>
  <c r="E62" i="32" s="1"/>
  <c r="Q57" i="32"/>
  <c r="D57" i="32" s="1"/>
  <c r="Q19" i="32"/>
  <c r="D49" i="32" l="1"/>
  <c r="D51" i="32" s="1"/>
  <c r="D52" i="32" s="1"/>
  <c r="E66" i="32"/>
  <c r="E68" i="32" s="1"/>
  <c r="E70" i="32" l="1"/>
  <c r="E74" i="32" s="1"/>
  <c r="D53" i="32"/>
  <c r="E72" i="32" l="1"/>
</calcChain>
</file>

<file path=xl/sharedStrings.xml><?xml version="1.0" encoding="utf-8"?>
<sst xmlns="http://schemas.openxmlformats.org/spreadsheetml/2006/main" count="149" uniqueCount="49">
  <si>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</si>
  <si>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</si>
  <si>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</si>
  <si>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</si>
  <si>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</si>
  <si>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</si>
  <si>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</si>
  <si>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</si>
  <si>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</si>
  <si>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</si>
  <si>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</si>
  <si>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</si>
  <si>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</si>
  <si>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</si>
  <si>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</si>
  <si>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</si>
  <si>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</si>
  <si>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</si>
  <si>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</si>
  <si>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</si>
  <si>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</si>
  <si>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</si>
  <si>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</si>
  <si>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</si>
  <si>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</si>
  <si>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</si>
  <si>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</si>
  <si>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</si>
  <si>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</si>
  <si>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</si>
  <si>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</si>
  <si>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</si>
  <si>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</si>
  <si>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</si>
  <si>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</si>
  <si>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</si>
  <si>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</si>
  <si>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</si>
  <si>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</si>
  <si>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</si>
  <si>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</si>
  <si>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2033ff.</t>
  </si>
  <si>
    <t>KGV Multiple in 2032</t>
  </si>
  <si>
    <t>Gesamtwert 2032</t>
  </si>
  <si>
    <t>Steigerung Gesamt bis 2032 in Prozent</t>
  </si>
  <si>
    <t>Renditeerwartung bis 2032 pro Jahr</t>
  </si>
  <si>
    <t>USD</t>
  </si>
  <si>
    <t>Quellensteuer USA (25 %)</t>
  </si>
  <si>
    <t xml:space="preserve"> Annahmen für Costco 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</si>
</sst>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  <xf numFmtId="10" fontId="0" fillId="2" borderId="7" xfId="0" applyNumberFormat="1" applyFill="1" applyBorder="1"/>
    <xf numFmtId="4" fontId="13" fillId="2" borderId="8" xfId="0" quotePrefix="1" applyNumberFormat="1" applyFont="1" applyFill="1" applyBorder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opLeftCell="A48" zoomScaleNormal="100" workbookViewId="0">
      <selection activeCell="C51" sqref="C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152703</v>
      </c>
      <c r="D11" s="82">
        <v>166761</v>
      </c>
      <c r="E11" s="82">
        <v>195929</v>
      </c>
      <c r="F11" s="82">
        <v>226954</v>
      </c>
      <c r="G11" s="72">
        <v>240679.49</v>
      </c>
      <c r="H11" s="72">
        <v>252927.17</v>
      </c>
      <c r="I11" s="72">
        <v>268810.78999999998</v>
      </c>
      <c r="J11" s="72">
        <v>292396</v>
      </c>
      <c r="K11" s="72">
        <f t="shared" ref="K11" si="0">J11*(1+K12)</f>
        <v>309939.76</v>
      </c>
      <c r="L11" s="72">
        <f t="shared" ref="L11:Q11" si="1">K11*(1+L12)</f>
        <v>323887.04920000001</v>
      </c>
      <c r="M11" s="72">
        <f t="shared" si="1"/>
        <v>335223.09592200001</v>
      </c>
      <c r="N11" s="72">
        <f t="shared" si="1"/>
        <v>345279.78879965999</v>
      </c>
      <c r="O11" s="72">
        <f t="shared" si="1"/>
        <v>353911.78351965145</v>
      </c>
      <c r="P11" s="72">
        <f t="shared" si="1"/>
        <v>360990.01919004449</v>
      </c>
      <c r="Q11" s="72">
        <f t="shared" si="1"/>
        <v>366404.86947789515</v>
      </c>
    </row>
    <row r="12" spans="1:28" x14ac:dyDescent="0.25">
      <c r="A12" s="5"/>
      <c r="B12" s="4" t="s">
        <v>1</v>
      </c>
      <c r="C12" s="86"/>
      <c r="D12" s="89">
        <f t="shared" ref="D12:J12" si="2">D11/C11-1</f>
        <v>9.2061059704131587E-2</v>
      </c>
      <c r="E12" s="89">
        <f t="shared" si="2"/>
        <v>0.17490900150514799</v>
      </c>
      <c r="F12" s="89">
        <f t="shared" si="2"/>
        <v>0.15834817714580285</v>
      </c>
      <c r="G12" s="85">
        <f t="shared" si="2"/>
        <v>6.0476968901187034E-2</v>
      </c>
      <c r="H12" s="85">
        <f t="shared" si="2"/>
        <v>5.0887925680746626E-2</v>
      </c>
      <c r="I12" s="85">
        <f t="shared" si="2"/>
        <v>6.2799184445071488E-2</v>
      </c>
      <c r="J12" s="85">
        <f t="shared" si="2"/>
        <v>8.7739074759610736E-2</v>
      </c>
      <c r="K12" s="85">
        <v>0.06</v>
      </c>
      <c r="L12" s="71">
        <v>4.4999999999999998E-2</v>
      </c>
      <c r="M12" s="71">
        <v>3.5000000000000003E-2</v>
      </c>
      <c r="N12" s="71">
        <v>0.03</v>
      </c>
      <c r="O12" s="71">
        <v>2.5000000000000001E-2</v>
      </c>
      <c r="P12" s="71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88">
        <v>3.1600000000000003E-2</v>
      </c>
      <c r="D13" s="88">
        <v>3.6400000000000002E-2</v>
      </c>
      <c r="E13" s="88">
        <v>3.73E-2</v>
      </c>
      <c r="F13" s="88">
        <v>3.4299999999999997E-2</v>
      </c>
      <c r="G13" s="84">
        <v>3.4599999999999999E-2</v>
      </c>
      <c r="H13" s="84">
        <v>3.5700000000000003E-2</v>
      </c>
      <c r="I13" s="84">
        <v>3.6499999999999998E-2</v>
      </c>
      <c r="J13" s="84">
        <v>3.7400000000000003E-2</v>
      </c>
      <c r="K13" s="84">
        <v>3.7999999999999999E-2</v>
      </c>
      <c r="L13" s="84">
        <v>3.7999999999999999E-2</v>
      </c>
      <c r="M13" s="84">
        <v>3.7999999999999999E-2</v>
      </c>
      <c r="N13" s="84">
        <v>3.9E-2</v>
      </c>
      <c r="O13" s="84">
        <v>3.9E-2</v>
      </c>
      <c r="P13" s="84">
        <v>0.04</v>
      </c>
      <c r="Q13" s="84">
        <v>0.04</v>
      </c>
    </row>
    <row r="14" spans="1:28" ht="17.100000000000001" customHeight="1" x14ac:dyDescent="0.25">
      <c r="A14" s="5"/>
      <c r="B14" s="4" t="s">
        <v>16</v>
      </c>
      <c r="C14" s="82">
        <f>C11*C13</f>
        <v>4825.4148000000005</v>
      </c>
      <c r="D14" s="82">
        <f t="shared" ref="D14:I14" si="3">D11*D13</f>
        <v>6070.1004000000003</v>
      </c>
      <c r="E14" s="82">
        <f t="shared" si="3"/>
        <v>7308.1517000000003</v>
      </c>
      <c r="F14" s="82">
        <f t="shared" si="3"/>
        <v>7784.5221999999994</v>
      </c>
      <c r="G14" s="72">
        <f t="shared" si="3"/>
        <v>8327.510354</v>
      </c>
      <c r="H14" s="72">
        <f t="shared" si="3"/>
        <v>9029.4999690000004</v>
      </c>
      <c r="I14" s="72">
        <f t="shared" si="3"/>
        <v>9811.5938349999979</v>
      </c>
      <c r="J14" s="72">
        <f>J11*J13</f>
        <v>10935.610400000001</v>
      </c>
      <c r="K14" s="72">
        <f t="shared" ref="K14:Q14" si="4">K11*K13</f>
        <v>11777.710880000001</v>
      </c>
      <c r="L14" s="72">
        <f t="shared" si="4"/>
        <v>12307.707869600001</v>
      </c>
      <c r="M14" s="72">
        <f t="shared" si="4"/>
        <v>12738.477645036</v>
      </c>
      <c r="N14" s="72">
        <f t="shared" si="4"/>
        <v>13465.911763186739</v>
      </c>
      <c r="O14" s="72">
        <f t="shared" si="4"/>
        <v>13802.559557266406</v>
      </c>
      <c r="P14" s="72">
        <f>P11*P13</f>
        <v>14439.60076760178</v>
      </c>
      <c r="Q14" s="72">
        <f t="shared" si="4"/>
        <v>14656.194779115805</v>
      </c>
    </row>
    <row r="15" spans="1:28" x14ac:dyDescent="0.25">
      <c r="A15" s="100">
        <v>0.2</v>
      </c>
      <c r="B15" s="4" t="s">
        <v>39</v>
      </c>
      <c r="C15" s="82">
        <v>3664.8720000000003</v>
      </c>
      <c r="D15" s="82">
        <v>4002.2640000000001</v>
      </c>
      <c r="E15" s="82">
        <v>5015.7824000000001</v>
      </c>
      <c r="F15" s="82">
        <v>5832.7178000000004</v>
      </c>
      <c r="G15" s="72">
        <v>6353.9385359999997</v>
      </c>
      <c r="H15" s="72">
        <v>6854.3263070000003</v>
      </c>
      <c r="I15" s="72">
        <v>7499.8210410000002</v>
      </c>
      <c r="J15" s="72">
        <v>8596.4423999999999</v>
      </c>
      <c r="K15" s="72">
        <f t="shared" ref="K15:Q15" si="5">K14*(1-$A$15)</f>
        <v>9422.1687040000015</v>
      </c>
      <c r="L15" s="72">
        <f t="shared" si="5"/>
        <v>9846.166295680001</v>
      </c>
      <c r="M15" s="72">
        <f t="shared" si="5"/>
        <v>10190.7821160288</v>
      </c>
      <c r="N15" s="72">
        <f t="shared" si="5"/>
        <v>10772.729410549393</v>
      </c>
      <c r="O15" s="72">
        <f t="shared" si="5"/>
        <v>11042.047645813125</v>
      </c>
      <c r="P15" s="72">
        <f>P14*(1-$A$15)</f>
        <v>11551.680614081424</v>
      </c>
      <c r="Q15" s="72">
        <f t="shared" si="5"/>
        <v>11724.955823292645</v>
      </c>
    </row>
    <row r="16" spans="1:28" ht="32.25" hidden="1" thickBot="1" x14ac:dyDescent="0.3">
      <c r="A16" s="13" t="s">
        <v>6</v>
      </c>
      <c r="B16" s="14"/>
      <c r="C16" s="15">
        <f t="shared" ref="C16:J16" si="6">C15/C14</f>
        <v>0.75949367088607589</v>
      </c>
      <c r="D16" s="15">
        <f t="shared" si="6"/>
        <v>0.65934065934065933</v>
      </c>
      <c r="E16" s="15">
        <f t="shared" si="6"/>
        <v>0.68632707774798929</v>
      </c>
      <c r="F16" s="15">
        <f t="shared" si="6"/>
        <v>0.74927113702623915</v>
      </c>
      <c r="G16" s="15">
        <f t="shared" si="6"/>
        <v>0.76300578034682076</v>
      </c>
      <c r="H16" s="15">
        <f t="shared" si="6"/>
        <v>0.7591036414565826</v>
      </c>
      <c r="I16" s="15">
        <f t="shared" si="6"/>
        <v>0.76438356164383581</v>
      </c>
      <c r="J16" s="15">
        <f t="shared" si="6"/>
        <v>0.7860962566844919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14.284933758992805</v>
      </c>
      <c r="H17" s="72">
        <f t="shared" ref="H17:P17" si="7">H15/H18</f>
        <v>15.40990626573741</v>
      </c>
      <c r="I17" s="72">
        <f t="shared" si="7"/>
        <v>16.86110845548561</v>
      </c>
      <c r="J17" s="72">
        <f t="shared" si="7"/>
        <v>19.326534172661869</v>
      </c>
      <c r="K17" s="72">
        <f t="shared" si="7"/>
        <v>21.182933237410076</v>
      </c>
      <c r="L17" s="72">
        <f t="shared" si="7"/>
        <v>22.136165233093529</v>
      </c>
      <c r="M17" s="72">
        <f t="shared" si="7"/>
        <v>22.910931016251798</v>
      </c>
      <c r="N17" s="72">
        <f t="shared" si="7"/>
        <v>24.219265761127232</v>
      </c>
      <c r="O17" s="72">
        <f t="shared" si="7"/>
        <v>24.824747405155406</v>
      </c>
      <c r="P17" s="72">
        <f t="shared" si="7"/>
        <v>25.970504977701044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444.8</v>
      </c>
      <c r="H18" s="72">
        <f>G18*1</f>
        <v>444.8</v>
      </c>
      <c r="I18" s="72">
        <f t="shared" ref="I18:P18" si="8">H18*1</f>
        <v>444.8</v>
      </c>
      <c r="J18" s="72">
        <f t="shared" si="8"/>
        <v>444.8</v>
      </c>
      <c r="K18" s="72">
        <f t="shared" si="8"/>
        <v>444.8</v>
      </c>
      <c r="L18" s="72">
        <f t="shared" si="8"/>
        <v>444.8</v>
      </c>
      <c r="M18" s="72">
        <f t="shared" si="8"/>
        <v>444.8</v>
      </c>
      <c r="N18" s="72">
        <f t="shared" si="8"/>
        <v>444.8</v>
      </c>
      <c r="O18" s="72">
        <f t="shared" si="8"/>
        <v>444.8</v>
      </c>
      <c r="P18" s="72">
        <f t="shared" si="8"/>
        <v>444.8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5814.6314673987636</v>
      </c>
      <c r="H19" s="53">
        <f>H15/(1+$C$55)^2</f>
        <v>5740.1487294773306</v>
      </c>
      <c r="I19" s="53">
        <f>I15/(1+$C$55)^3</f>
        <v>5747.6253952565785</v>
      </c>
      <c r="J19" s="53">
        <f>J15/(1+$C$55)^4</f>
        <v>6028.8641362166654</v>
      </c>
      <c r="K19" s="53">
        <f>K15/(1+$C$55)^5</f>
        <v>6047.0951221624855</v>
      </c>
      <c r="L19" s="53">
        <f>L15/(1+$C$55)^6</f>
        <v>5782.8546352411768</v>
      </c>
      <c r="M19" s="53">
        <f>M15/(1+$C$55)^7</f>
        <v>5477.240491855061</v>
      </c>
      <c r="N19" s="53">
        <f>N15/(1+$C$55)^8</f>
        <v>5298.5767572834784</v>
      </c>
      <c r="O19" s="53">
        <f>O15/(1+$C$55)^9</f>
        <v>4970.0674227550344</v>
      </c>
      <c r="P19" s="53">
        <f>P15/(1+$C$55)^10</f>
        <v>4758.1378631517846</v>
      </c>
      <c r="Q19" s="54">
        <f>(Q15/(C55-Q12))/(1+C55)^10</f>
        <v>62115.883358187268</v>
      </c>
    </row>
    <row r="20" spans="1:18" x14ac:dyDescent="0.25">
      <c r="A20" s="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0" t="s">
        <v>25</v>
      </c>
      <c r="H23" s="91"/>
      <c r="I23" s="92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25">
      <c r="A25" s="35"/>
      <c r="B25" s="36"/>
      <c r="C25" s="36"/>
      <c r="D25" s="38"/>
      <c r="F25" s="36"/>
      <c r="G25" s="93" t="s">
        <v>27</v>
      </c>
      <c r="H25" s="6"/>
      <c r="I25" s="95">
        <f>(I27-I23)*I29</f>
        <v>5.5250000000000014E-2</v>
      </c>
      <c r="J25" s="26"/>
    </row>
    <row r="26" spans="1:18" x14ac:dyDescent="0.25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25">
      <c r="A27" s="35"/>
      <c r="B27" s="36"/>
      <c r="C27" s="36"/>
      <c r="D27" s="38"/>
      <c r="F27" s="36"/>
      <c r="G27" s="93" t="s">
        <v>28</v>
      </c>
      <c r="H27" s="6"/>
      <c r="I27" s="96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25">
      <c r="A29" s="35"/>
      <c r="B29" s="36"/>
      <c r="C29" s="36"/>
      <c r="D29" s="39"/>
      <c r="F29" s="36"/>
      <c r="G29" s="93" t="s">
        <v>35</v>
      </c>
      <c r="H29" s="6"/>
      <c r="I29" s="79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25">
      <c r="A31" s="35"/>
      <c r="B31" s="36"/>
      <c r="C31" s="36"/>
      <c r="D31" s="37"/>
      <c r="F31" s="36"/>
      <c r="G31" s="93" t="s">
        <v>31</v>
      </c>
      <c r="H31" s="6"/>
      <c r="I31" s="96">
        <f>I23+(I27-I23)*I29</f>
        <v>9.2750000000000013E-2</v>
      </c>
      <c r="J31" s="26" t="s">
        <v>32</v>
      </c>
    </row>
    <row r="32" spans="1:18" x14ac:dyDescent="0.25">
      <c r="A32" s="25"/>
      <c r="C32" s="41"/>
      <c r="E32" s="36"/>
      <c r="F32" s="36"/>
      <c r="G32" s="93"/>
      <c r="H32" s="6"/>
      <c r="I32" s="6"/>
      <c r="J32" s="26"/>
    </row>
    <row r="33" spans="1:10" x14ac:dyDescent="0.25">
      <c r="A33" s="25"/>
      <c r="G33" s="97" t="s">
        <v>34</v>
      </c>
      <c r="H33" s="98"/>
      <c r="I33" s="99">
        <f>I31</f>
        <v>9.2750000000000013E-2</v>
      </c>
      <c r="J33" s="26"/>
    </row>
    <row r="34" spans="1:10" x14ac:dyDescent="0.25">
      <c r="A34" s="35" t="s">
        <v>7</v>
      </c>
      <c r="B34" s="36"/>
      <c r="C34" s="42"/>
      <c r="D34" s="27"/>
      <c r="G34" s="93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9.2750000000000013E-2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45101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233270.91200000004</v>
      </c>
      <c r="D49" s="47">
        <f>SUM(G19:Q19)</f>
        <v>117781.12537898563</v>
      </c>
      <c r="E49" s="46" t="s">
        <v>46</v>
      </c>
    </row>
    <row r="50" spans="1:17" x14ac:dyDescent="0.25">
      <c r="A50" s="45"/>
      <c r="B50" s="46" t="s">
        <v>11</v>
      </c>
      <c r="C50" s="56">
        <v>444.8</v>
      </c>
      <c r="D50" s="56">
        <f>C50</f>
        <v>444.8</v>
      </c>
      <c r="E50" s="46"/>
    </row>
    <row r="51" spans="1:17" x14ac:dyDescent="0.25">
      <c r="A51" s="45"/>
      <c r="B51" s="46" t="s">
        <v>13</v>
      </c>
      <c r="C51" s="87">
        <v>524.44000000000005</v>
      </c>
      <c r="D51" s="56">
        <f>D49/(D50)</f>
        <v>264.79569554628063</v>
      </c>
      <c r="E51" s="46" t="s">
        <v>46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0.98054578990820174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9.2750000000000013E-2</v>
      </c>
      <c r="D55" s="49"/>
      <c r="E55" s="46"/>
      <c r="J55" s="70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3">
        <v>0.108</v>
      </c>
      <c r="C57" s="50"/>
      <c r="D57" s="74">
        <f>SUM(H57:Q57)*1000</f>
        <v>92808982.219690517</v>
      </c>
      <c r="E57" s="46"/>
      <c r="F57" s="1" t="s">
        <v>23</v>
      </c>
      <c r="H57" s="1">
        <f>G15/(1+$B$57)</f>
        <v>5734.6015667870024</v>
      </c>
      <c r="I57" s="1">
        <f>H15/(1+$B$57)^2</f>
        <v>5583.2266051623237</v>
      </c>
      <c r="J57" s="1">
        <f>I15/(1+$B$57)^3</f>
        <v>5513.5538333363984</v>
      </c>
      <c r="K57" s="1">
        <f>J15/(1+$B$57)^4</f>
        <v>5703.7399425531075</v>
      </c>
      <c r="L57" s="1">
        <f>K15/(1+$B$57)^5</f>
        <v>5642.246737052461</v>
      </c>
      <c r="M57" s="1">
        <f>L15/(1+$B$57)^6</f>
        <v>5321.4330687904521</v>
      </c>
      <c r="N57" s="1">
        <f>M15/(1+$B$57)^7</f>
        <v>4970.8332366409004</v>
      </c>
      <c r="O57" s="1">
        <f>N15/(1+$B$57)^8</f>
        <v>4742.5035891094649</v>
      </c>
      <c r="P57" s="1">
        <f>O15/(1+$B$57)^9</f>
        <v>4387.2438437158835</v>
      </c>
      <c r="Q57" s="1">
        <f>(Q15/(B57-Q12))/(1+B57)^10</f>
        <v>45209.599796542519</v>
      </c>
    </row>
    <row r="58" spans="1:17" ht="16.5" thickBot="1" x14ac:dyDescent="0.3">
      <c r="A58" s="22"/>
      <c r="C58" s="65"/>
      <c r="D58" s="66"/>
    </row>
    <row r="59" spans="1:17" x14ac:dyDescent="0.25">
      <c r="A59" s="59" t="s">
        <v>42</v>
      </c>
      <c r="B59" s="23"/>
      <c r="C59" s="67">
        <v>22</v>
      </c>
      <c r="D59" s="23"/>
      <c r="E59" s="24"/>
    </row>
    <row r="60" spans="1:17" x14ac:dyDescent="0.25">
      <c r="A60" s="25" t="s">
        <v>21</v>
      </c>
      <c r="C60" s="68"/>
      <c r="E60" s="26"/>
    </row>
    <row r="61" spans="1:17" x14ac:dyDescent="0.25">
      <c r="A61" s="25"/>
      <c r="C61" s="68"/>
      <c r="E61" s="26"/>
    </row>
    <row r="62" spans="1:17" x14ac:dyDescent="0.25">
      <c r="A62" s="25" t="s">
        <v>37</v>
      </c>
      <c r="C62" s="68"/>
      <c r="E62" s="60">
        <f>P17*C59</f>
        <v>571.35110950942294</v>
      </c>
    </row>
    <row r="63" spans="1:17" x14ac:dyDescent="0.25">
      <c r="A63" s="25"/>
      <c r="C63" s="68"/>
      <c r="E63" s="26"/>
    </row>
    <row r="64" spans="1:17" x14ac:dyDescent="0.25">
      <c r="A64" s="25" t="s">
        <v>17</v>
      </c>
      <c r="C64" s="69">
        <v>0.25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51.781757570904183</v>
      </c>
    </row>
    <row r="67" spans="1:5" x14ac:dyDescent="0.25">
      <c r="A67" s="25"/>
      <c r="E67" s="61"/>
    </row>
    <row r="68" spans="1:5" x14ac:dyDescent="0.25">
      <c r="A68" s="103" t="s">
        <v>47</v>
      </c>
      <c r="E68" s="104">
        <f>(E66*0.25)*-1</f>
        <v>-12.945439392726046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43</v>
      </c>
      <c r="E70" s="60">
        <f>SUM(E62:E68)</f>
        <v>610.18742768760114</v>
      </c>
    </row>
    <row r="71" spans="1:5" x14ac:dyDescent="0.25">
      <c r="A71" s="25"/>
      <c r="E71" s="60"/>
    </row>
    <row r="72" spans="1:5" x14ac:dyDescent="0.25">
      <c r="A72" s="25" t="s">
        <v>44</v>
      </c>
      <c r="E72" s="62">
        <f>E70/C51-1</f>
        <v>0.16350283671649968</v>
      </c>
    </row>
    <row r="73" spans="1:5" x14ac:dyDescent="0.25">
      <c r="A73" s="25"/>
      <c r="E73" s="26"/>
    </row>
    <row r="74" spans="1:5" ht="16.5" thickBot="1" x14ac:dyDescent="0.3">
      <c r="A74" s="63" t="s">
        <v>45</v>
      </c>
      <c r="B74" s="64"/>
      <c r="C74" s="64"/>
      <c r="D74" s="64"/>
      <c r="E74" s="102">
        <f>(E70/C51)^(1/10)-1</f>
        <v>1.5258758193781086E-2</v>
      </c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K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6" zoomScaleNormal="100" workbookViewId="0">
      <selection activeCell="C51" sqref="C51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152703</v>
      </c>
      <c r="D11" s="82">
        <v>166761</v>
      </c>
      <c r="E11" s="82">
        <v>195929</v>
      </c>
      <c r="F11" s="82">
        <v>226954</v>
      </c>
      <c r="G11" s="72">
        <v>240679.49</v>
      </c>
      <c r="H11" s="72">
        <v>252927.17</v>
      </c>
      <c r="I11" s="72">
        <v>268810.78999999998</v>
      </c>
      <c r="J11" s="72">
        <v>292396</v>
      </c>
      <c r="K11" s="72">
        <f t="shared" ref="K11" si="0">J11*(1+K12)</f>
        <v>315787.68</v>
      </c>
      <c r="L11" s="72">
        <f t="shared" ref="L11:Q11" si="1">K11*(1+L12)</f>
        <v>337892.81760000001</v>
      </c>
      <c r="M11" s="72">
        <f t="shared" si="1"/>
        <v>358166.38665600005</v>
      </c>
      <c r="N11" s="72">
        <f t="shared" si="1"/>
        <v>376074.70598880004</v>
      </c>
      <c r="O11" s="72">
        <f t="shared" si="1"/>
        <v>391117.69422835205</v>
      </c>
      <c r="P11" s="72">
        <f t="shared" si="1"/>
        <v>402851.22505520261</v>
      </c>
      <c r="Q11" s="72">
        <f t="shared" si="1"/>
        <v>410908.24955630669</v>
      </c>
    </row>
    <row r="12" spans="1:28" x14ac:dyDescent="0.25">
      <c r="A12" s="5"/>
      <c r="B12" s="4" t="s">
        <v>1</v>
      </c>
      <c r="C12" s="89"/>
      <c r="D12" s="89">
        <f t="shared" ref="D12:J12" si="2">D11/C11-1</f>
        <v>9.2061059704131587E-2</v>
      </c>
      <c r="E12" s="89">
        <f t="shared" si="2"/>
        <v>0.17490900150514799</v>
      </c>
      <c r="F12" s="89">
        <f t="shared" si="2"/>
        <v>0.15834817714580285</v>
      </c>
      <c r="G12" s="85">
        <f t="shared" si="2"/>
        <v>6.0476968901187034E-2</v>
      </c>
      <c r="H12" s="85">
        <f t="shared" si="2"/>
        <v>5.0887925680746626E-2</v>
      </c>
      <c r="I12" s="85">
        <f t="shared" si="2"/>
        <v>6.2799184445071488E-2</v>
      </c>
      <c r="J12" s="85">
        <f t="shared" si="2"/>
        <v>8.7739074759610736E-2</v>
      </c>
      <c r="K12" s="85">
        <v>0.08</v>
      </c>
      <c r="L12" s="71">
        <v>7.0000000000000007E-2</v>
      </c>
      <c r="M12" s="71">
        <v>0.06</v>
      </c>
      <c r="N12" s="71">
        <v>0.05</v>
      </c>
      <c r="O12" s="71">
        <v>0.04</v>
      </c>
      <c r="P12" s="71">
        <v>0.03</v>
      </c>
      <c r="Q12" s="12">
        <v>0.02</v>
      </c>
    </row>
    <row r="13" spans="1:28" ht="15.95" customHeight="1" x14ac:dyDescent="0.25">
      <c r="A13" s="5"/>
      <c r="B13" s="4" t="s">
        <v>15</v>
      </c>
      <c r="C13" s="88">
        <v>3.1600000000000003E-2</v>
      </c>
      <c r="D13" s="88">
        <v>3.6400000000000002E-2</v>
      </c>
      <c r="E13" s="88">
        <v>3.73E-2</v>
      </c>
      <c r="F13" s="88">
        <v>3.4299999999999997E-2</v>
      </c>
      <c r="G13" s="84">
        <v>3.4599999999999999E-2</v>
      </c>
      <c r="H13" s="84">
        <v>3.5700000000000003E-2</v>
      </c>
      <c r="I13" s="84">
        <v>3.6499999999999998E-2</v>
      </c>
      <c r="J13" s="84">
        <v>3.7400000000000003E-2</v>
      </c>
      <c r="K13" s="84">
        <v>0.04</v>
      </c>
      <c r="L13" s="84">
        <v>4.2000000000000003E-2</v>
      </c>
      <c r="M13" s="84">
        <v>4.3999999999999997E-2</v>
      </c>
      <c r="N13" s="84">
        <v>4.5999999999999999E-2</v>
      </c>
      <c r="O13" s="84">
        <v>4.8000000000000001E-2</v>
      </c>
      <c r="P13" s="84">
        <v>0.05</v>
      </c>
      <c r="Q13" s="84">
        <v>0.05</v>
      </c>
    </row>
    <row r="14" spans="1:28" ht="17.100000000000001" customHeight="1" x14ac:dyDescent="0.25">
      <c r="A14" s="5"/>
      <c r="B14" s="4" t="s">
        <v>16</v>
      </c>
      <c r="C14" s="82">
        <f>C11*C13</f>
        <v>4825.4148000000005</v>
      </c>
      <c r="D14" s="82">
        <f t="shared" ref="D14:J14" si="3">D11*D13</f>
        <v>6070.1004000000003</v>
      </c>
      <c r="E14" s="82">
        <f t="shared" si="3"/>
        <v>7308.1517000000003</v>
      </c>
      <c r="F14" s="82">
        <f t="shared" si="3"/>
        <v>7784.5221999999994</v>
      </c>
      <c r="G14" s="72">
        <f t="shared" si="3"/>
        <v>8327.510354</v>
      </c>
      <c r="H14" s="72">
        <f t="shared" si="3"/>
        <v>9029.4999690000004</v>
      </c>
      <c r="I14" s="72">
        <f t="shared" si="3"/>
        <v>9811.5938349999979</v>
      </c>
      <c r="J14" s="72">
        <f t="shared" si="3"/>
        <v>10935.610400000001</v>
      </c>
      <c r="K14" s="72">
        <f t="shared" ref="K14:Q14" si="4">K11*K13</f>
        <v>12631.5072</v>
      </c>
      <c r="L14" s="72">
        <f t="shared" si="4"/>
        <v>14191.498339200001</v>
      </c>
      <c r="M14" s="72">
        <f t="shared" si="4"/>
        <v>15759.321012864</v>
      </c>
      <c r="N14" s="72">
        <f t="shared" si="4"/>
        <v>17299.436475484803</v>
      </c>
      <c r="O14" s="72">
        <f>O11*O13</f>
        <v>18773.6493229609</v>
      </c>
      <c r="P14" s="72">
        <f t="shared" si="4"/>
        <v>20142.561252760133</v>
      </c>
      <c r="Q14" s="72">
        <f t="shared" si="4"/>
        <v>20545.412477815335</v>
      </c>
    </row>
    <row r="15" spans="1:28" x14ac:dyDescent="0.25">
      <c r="A15" s="100">
        <v>0.2</v>
      </c>
      <c r="B15" s="4" t="s">
        <v>39</v>
      </c>
      <c r="C15" s="82">
        <v>3664.8720000000003</v>
      </c>
      <c r="D15" s="82">
        <v>4002.2640000000001</v>
      </c>
      <c r="E15" s="82">
        <v>5015.7824000000001</v>
      </c>
      <c r="F15" s="82">
        <v>5832.7178000000004</v>
      </c>
      <c r="G15" s="72">
        <v>6353.9385359999997</v>
      </c>
      <c r="H15" s="72">
        <v>6854.3263070000003</v>
      </c>
      <c r="I15" s="72">
        <v>7499.8210410000002</v>
      </c>
      <c r="J15" s="72">
        <v>8596.4423999999999</v>
      </c>
      <c r="K15" s="72">
        <f t="shared" ref="K15:Q15" si="5">K14*(1-$A$15)</f>
        <v>10105.205760000001</v>
      </c>
      <c r="L15" s="72">
        <f t="shared" si="5"/>
        <v>11353.198671360002</v>
      </c>
      <c r="M15" s="72">
        <f t="shared" si="5"/>
        <v>12607.456810291202</v>
      </c>
      <c r="N15" s="72">
        <f t="shared" si="5"/>
        <v>13839.549180387843</v>
      </c>
      <c r="O15" s="72">
        <f>O14*(1-$A$15)</f>
        <v>15018.91945836872</v>
      </c>
      <c r="P15" s="72">
        <f t="shared" si="5"/>
        <v>16114.049002208107</v>
      </c>
      <c r="Q15" s="72">
        <f t="shared" si="5"/>
        <v>16436.329982252268</v>
      </c>
    </row>
    <row r="16" spans="1:28" ht="32.25" hidden="1" thickBot="1" x14ac:dyDescent="0.3">
      <c r="A16" s="13" t="s">
        <v>6</v>
      </c>
      <c r="B16" s="14"/>
      <c r="C16" s="15">
        <f t="shared" ref="C16:J16" si="6">C15/C14</f>
        <v>0.75949367088607589</v>
      </c>
      <c r="D16" s="15">
        <f t="shared" si="6"/>
        <v>0.65934065934065933</v>
      </c>
      <c r="E16" s="15">
        <f t="shared" si="6"/>
        <v>0.68632707774798929</v>
      </c>
      <c r="F16" s="15">
        <f t="shared" si="6"/>
        <v>0.74927113702623915</v>
      </c>
      <c r="G16" s="15">
        <f t="shared" si="6"/>
        <v>0.76300578034682076</v>
      </c>
      <c r="H16" s="15">
        <f t="shared" si="6"/>
        <v>0.7591036414565826</v>
      </c>
      <c r="I16" s="15">
        <f t="shared" si="6"/>
        <v>0.76438356164383581</v>
      </c>
      <c r="J16" s="15">
        <f t="shared" si="6"/>
        <v>0.7860962566844919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14.284933758992805</v>
      </c>
      <c r="H17" s="72">
        <f>H15/H18</f>
        <v>15.433055849511677</v>
      </c>
      <c r="I17" s="72">
        <f t="shared" ref="I17:O17" si="7">I15/I18</f>
        <v>16.903341454108702</v>
      </c>
      <c r="J17" s="72">
        <f>J15/J18</f>
        <v>19.394336803217421</v>
      </c>
      <c r="K17" s="72">
        <f t="shared" si="7"/>
        <v>22.821061875453484</v>
      </c>
      <c r="L17" s="72">
        <f t="shared" si="7"/>
        <v>25.66512814521721</v>
      </c>
      <c r="M17" s="72">
        <f t="shared" si="7"/>
        <v>28.52904277355762</v>
      </c>
      <c r="N17" s="72">
        <f t="shared" si="7"/>
        <v>31.348456774111227</v>
      </c>
      <c r="O17" s="72">
        <f t="shared" si="7"/>
        <v>34.053944426244342</v>
      </c>
      <c r="P17" s="72">
        <f>P15/P18</f>
        <v>36.573618158816814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444.8</v>
      </c>
      <c r="H18" s="72">
        <f>G18*0.9985</f>
        <v>444.13280000000003</v>
      </c>
      <c r="I18" s="72">
        <f t="shared" ref="I18:P18" si="8">H18*0.999</f>
        <v>443.68866720000005</v>
      </c>
      <c r="J18" s="72">
        <f t="shared" si="8"/>
        <v>443.24497853280008</v>
      </c>
      <c r="K18" s="72">
        <f t="shared" si="8"/>
        <v>442.80173355426729</v>
      </c>
      <c r="L18" s="72">
        <f t="shared" si="8"/>
        <v>442.358931820713</v>
      </c>
      <c r="M18" s="72">
        <f t="shared" si="8"/>
        <v>441.91657288889229</v>
      </c>
      <c r="N18" s="72">
        <f t="shared" si="8"/>
        <v>441.4746563160034</v>
      </c>
      <c r="O18" s="72">
        <f t="shared" si="8"/>
        <v>441.03318165968739</v>
      </c>
      <c r="P18" s="72">
        <f t="shared" si="8"/>
        <v>440.5921484780277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5814.6314673987636</v>
      </c>
      <c r="H19" s="53">
        <f>H15/(1+$C$55)^2</f>
        <v>5740.1487294773306</v>
      </c>
      <c r="I19" s="53">
        <f>I15/(1+$C$55)^3</f>
        <v>5747.6253952565785</v>
      </c>
      <c r="J19" s="53">
        <f>J15/(1+$C$55)^4</f>
        <v>6028.8641362166654</v>
      </c>
      <c r="K19" s="53">
        <f>K15/(1+$C$55)^5</f>
        <v>6485.4644805714834</v>
      </c>
      <c r="L19" s="53">
        <f>L15/(1+$C$55)^6</f>
        <v>6667.9655400796719</v>
      </c>
      <c r="M19" s="53">
        <f>M15/(1+$C$55)^7</f>
        <v>6776.1308361237134</v>
      </c>
      <c r="N19" s="53">
        <f>N15/(1+$C$55)^8</f>
        <v>6806.9948500400442</v>
      </c>
      <c r="O19" s="53">
        <f>O15/(1+$C$55)^9</f>
        <v>6760.0724720041981</v>
      </c>
      <c r="P19" s="53">
        <f>P15/(1+$C$55)^10</f>
        <v>6637.3776463855747</v>
      </c>
      <c r="Q19" s="54">
        <f>(Q15/(C55-Q12))/(1+C55)^10</f>
        <v>93060.140196746186</v>
      </c>
    </row>
    <row r="20" spans="1:18" x14ac:dyDescent="0.2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0">
        <f>(I27-I23)*I29</f>
        <v>5.5250000000000014E-2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79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79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79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79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1">
        <f>I23+(I27-I23)*I29</f>
        <v>9.2750000000000013E-2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6" t="s">
        <v>34</v>
      </c>
      <c r="H33" s="22"/>
      <c r="I33" s="77">
        <f>I31</f>
        <v>9.2750000000000013E-2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9.2750000000000013E-2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45101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233270.91200000004</v>
      </c>
      <c r="D49" s="47">
        <f>SUM(G19:Q19)</f>
        <v>156525.41575030022</v>
      </c>
      <c r="E49" s="46" t="s">
        <v>46</v>
      </c>
    </row>
    <row r="50" spans="1:17" x14ac:dyDescent="0.25">
      <c r="A50" s="45"/>
      <c r="B50" s="46" t="s">
        <v>11</v>
      </c>
      <c r="C50" s="56">
        <v>444.8</v>
      </c>
      <c r="D50" s="56">
        <f>C50</f>
        <v>444.8</v>
      </c>
      <c r="E50" s="46"/>
    </row>
    <row r="51" spans="1:17" x14ac:dyDescent="0.25">
      <c r="A51" s="45"/>
      <c r="B51" s="46" t="s">
        <v>13</v>
      </c>
      <c r="C51" s="87">
        <v>524.44000000000005</v>
      </c>
      <c r="D51" s="56">
        <f>D49/(D50)</f>
        <v>351.90066490625048</v>
      </c>
      <c r="E51" s="46" t="s">
        <v>46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0.49030693118956048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9.2750000000000013E-2</v>
      </c>
      <c r="D55" s="49"/>
      <c r="E55" s="46"/>
      <c r="J55" s="70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3">
        <v>0.108</v>
      </c>
      <c r="C57" s="50"/>
      <c r="D57" s="74">
        <f>SUM(H57:Q57)*1000</f>
        <v>119908727.50527409</v>
      </c>
      <c r="E57" s="46"/>
      <c r="F57" s="1" t="s">
        <v>23</v>
      </c>
      <c r="H57" s="1">
        <f>G15/(1+$B$57)</f>
        <v>5734.6015667870024</v>
      </c>
      <c r="I57" s="1">
        <f>H15/(1+$B$57)^2</f>
        <v>5583.2266051623237</v>
      </c>
      <c r="J57" s="1">
        <f>I15/(1+$B$57)^3</f>
        <v>5513.5538333363984</v>
      </c>
      <c r="K57" s="1">
        <f>J15/(1+$B$57)^4</f>
        <v>5703.7399425531075</v>
      </c>
      <c r="L57" s="1">
        <f>K15/(1+$B$57)^5</f>
        <v>6051.2676027970783</v>
      </c>
      <c r="M57" s="1">
        <f>L15/(1+$B$57)^6</f>
        <v>6135.9198120419833</v>
      </c>
      <c r="N57" s="1">
        <f>M15/(1+$B$57)^7</f>
        <v>6149.6325432705444</v>
      </c>
      <c r="O57" s="1">
        <f>N15/(1+$B$57)^8</f>
        <v>6092.6167509018551</v>
      </c>
      <c r="P57" s="1">
        <f>O15/(1+$B$57)^9</f>
        <v>5967.3408453347301</v>
      </c>
      <c r="Q57" s="1">
        <f>(Q15/(B57-Q12))/(1+B57)^10</f>
        <v>66976.82800308906</v>
      </c>
    </row>
    <row r="58" spans="1:17" ht="16.5" thickBot="1" x14ac:dyDescent="0.3">
      <c r="A58" s="22"/>
      <c r="C58" s="65"/>
      <c r="D58" s="66"/>
    </row>
    <row r="59" spans="1:17" x14ac:dyDescent="0.25">
      <c r="A59" s="59" t="s">
        <v>42</v>
      </c>
      <c r="B59" s="23"/>
      <c r="C59" s="67">
        <v>32</v>
      </c>
      <c r="D59" s="23"/>
      <c r="E59" s="24"/>
    </row>
    <row r="60" spans="1:17" x14ac:dyDescent="0.25">
      <c r="A60" s="25" t="s">
        <v>21</v>
      </c>
      <c r="C60" s="68" t="s">
        <v>40</v>
      </c>
      <c r="E60" s="26"/>
    </row>
    <row r="61" spans="1:17" x14ac:dyDescent="0.25">
      <c r="A61" s="25"/>
      <c r="C61" s="68"/>
      <c r="E61" s="26"/>
    </row>
    <row r="62" spans="1:17" x14ac:dyDescent="0.25">
      <c r="A62" s="25" t="s">
        <v>37</v>
      </c>
      <c r="C62" s="68"/>
      <c r="E62" s="60">
        <f>P17*C59</f>
        <v>1170.355781082138</v>
      </c>
    </row>
    <row r="63" spans="1:17" x14ac:dyDescent="0.25">
      <c r="A63" s="25"/>
      <c r="C63" s="68"/>
      <c r="E63" s="26"/>
    </row>
    <row r="64" spans="1:17" x14ac:dyDescent="0.25">
      <c r="A64" s="25" t="s">
        <v>17</v>
      </c>
      <c r="C64" s="69">
        <v>0.4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98.002768007692552</v>
      </c>
    </row>
    <row r="67" spans="1:5" x14ac:dyDescent="0.25">
      <c r="A67" s="25"/>
      <c r="E67" s="61"/>
    </row>
    <row r="68" spans="1:5" x14ac:dyDescent="0.25">
      <c r="A68" s="103" t="s">
        <v>47</v>
      </c>
      <c r="E68" s="104">
        <f>(E66*0.25)*-1</f>
        <v>-24.500692001923138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43</v>
      </c>
      <c r="E70" s="60">
        <f>SUM(E62:E68)</f>
        <v>1243.8578570879074</v>
      </c>
    </row>
    <row r="71" spans="1:5" x14ac:dyDescent="0.25">
      <c r="A71" s="25"/>
      <c r="E71" s="60"/>
    </row>
    <row r="72" spans="1:5" x14ac:dyDescent="0.25">
      <c r="A72" s="25" t="s">
        <v>44</v>
      </c>
      <c r="E72" s="62">
        <f>E70/C51-1</f>
        <v>1.3717829629469667</v>
      </c>
    </row>
    <row r="73" spans="1:5" x14ac:dyDescent="0.25">
      <c r="A73" s="25"/>
      <c r="E73" s="26"/>
    </row>
    <row r="74" spans="1:5" ht="16.5" thickBot="1" x14ac:dyDescent="0.3">
      <c r="A74" s="63" t="s">
        <v>45</v>
      </c>
      <c r="B74" s="64"/>
      <c r="C74" s="64"/>
      <c r="D74" s="64"/>
      <c r="E74" s="102">
        <f>(E70/C51)^(1/10)-1</f>
        <v>9.0203305586032956E-2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tabSelected="1" zoomScaleNormal="100" workbookViewId="0">
      <selection activeCell="E68" sqref="E68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48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152703</v>
      </c>
      <c r="D11" s="82">
        <v>166761</v>
      </c>
      <c r="E11" s="82">
        <v>195929</v>
      </c>
      <c r="F11" s="82">
        <v>226954</v>
      </c>
      <c r="G11" s="72">
        <f t="shared" ref="G11" si="0">F11*(1+G12)</f>
        <v>253053.71</v>
      </c>
      <c r="H11" s="72">
        <f t="shared" ref="H11" si="1">G11*(1+H12)</f>
        <v>282154.88665</v>
      </c>
      <c r="I11" s="72">
        <f t="shared" ref="I11" si="2">H11*(1+I12)</f>
        <v>314602.69861475</v>
      </c>
      <c r="J11" s="72">
        <f t="shared" ref="J11" si="3">I11*(1+J12)</f>
        <v>350782.00895544625</v>
      </c>
      <c r="K11" s="72">
        <f t="shared" ref="K11" si="4">J11*(1+K12)</f>
        <v>391121.93998532253</v>
      </c>
      <c r="L11" s="72">
        <f t="shared" ref="L11" si="5">K11*(1+L12)</f>
        <v>436100.96308363462</v>
      </c>
      <c r="M11" s="72">
        <f t="shared" ref="M11:Q11" si="6">L11*(1+M12)</f>
        <v>486252.57383825257</v>
      </c>
      <c r="N11" s="72">
        <f t="shared" si="6"/>
        <v>542171.61982965167</v>
      </c>
      <c r="O11" s="72">
        <f t="shared" si="6"/>
        <v>604521.35611006164</v>
      </c>
      <c r="P11" s="72">
        <f t="shared" si="6"/>
        <v>658928.27815996727</v>
      </c>
      <c r="Q11" s="72">
        <f t="shared" si="6"/>
        <v>672106.84372316662</v>
      </c>
    </row>
    <row r="12" spans="1:28" x14ac:dyDescent="0.25">
      <c r="A12" s="5"/>
      <c r="B12" s="4" t="s">
        <v>1</v>
      </c>
      <c r="C12" s="86"/>
      <c r="D12" s="89">
        <f t="shared" ref="D12:F12" si="7">D11/C11-1</f>
        <v>9.2061059704131587E-2</v>
      </c>
      <c r="E12" s="89">
        <f t="shared" si="7"/>
        <v>0.17490900150514799</v>
      </c>
      <c r="F12" s="89">
        <f t="shared" si="7"/>
        <v>0.15834817714580285</v>
      </c>
      <c r="G12" s="85">
        <v>0.115</v>
      </c>
      <c r="H12" s="85">
        <f>G12</f>
        <v>0.115</v>
      </c>
      <c r="I12" s="85">
        <f t="shared" ref="I12:O12" si="8">H12</f>
        <v>0.115</v>
      </c>
      <c r="J12" s="85">
        <f t="shared" si="8"/>
        <v>0.115</v>
      </c>
      <c r="K12" s="85">
        <f t="shared" si="8"/>
        <v>0.115</v>
      </c>
      <c r="L12" s="85">
        <f t="shared" si="8"/>
        <v>0.115</v>
      </c>
      <c r="M12" s="85">
        <f t="shared" si="8"/>
        <v>0.115</v>
      </c>
      <c r="N12" s="85">
        <f t="shared" si="8"/>
        <v>0.115</v>
      </c>
      <c r="O12" s="85">
        <f t="shared" si="8"/>
        <v>0.115</v>
      </c>
      <c r="P12" s="85">
        <v>0.09</v>
      </c>
      <c r="Q12" s="85">
        <v>0.02</v>
      </c>
    </row>
    <row r="13" spans="1:28" ht="15.95" customHeight="1" x14ac:dyDescent="0.25">
      <c r="A13" s="5"/>
      <c r="B13" s="4" t="s">
        <v>15</v>
      </c>
      <c r="C13" s="88">
        <v>3.1600000000000003E-2</v>
      </c>
      <c r="D13" s="88">
        <v>3.6400000000000002E-2</v>
      </c>
      <c r="E13" s="88">
        <v>3.73E-2</v>
      </c>
      <c r="F13" s="88">
        <v>3.4299999999999997E-2</v>
      </c>
      <c r="G13" s="84">
        <v>3.4599999999999999E-2</v>
      </c>
      <c r="H13" s="84">
        <v>3.5700000000000003E-2</v>
      </c>
      <c r="I13" s="84">
        <v>3.6499999999999998E-2</v>
      </c>
      <c r="J13" s="84">
        <v>3.7400000000000003E-2</v>
      </c>
      <c r="K13" s="84">
        <v>0.04</v>
      </c>
      <c r="L13" s="84">
        <v>4.2000000000000003E-2</v>
      </c>
      <c r="M13" s="84">
        <v>4.3999999999999997E-2</v>
      </c>
      <c r="N13" s="84">
        <v>4.5999999999999999E-2</v>
      </c>
      <c r="O13" s="84">
        <v>4.8000000000000001E-2</v>
      </c>
      <c r="P13" s="84">
        <v>0.05</v>
      </c>
      <c r="Q13" s="84">
        <v>0.05</v>
      </c>
    </row>
    <row r="14" spans="1:28" ht="17.100000000000001" customHeight="1" x14ac:dyDescent="0.25">
      <c r="A14" s="5"/>
      <c r="B14" s="4" t="s">
        <v>16</v>
      </c>
      <c r="C14" s="82">
        <f>C11*C13</f>
        <v>4825.4148000000005</v>
      </c>
      <c r="D14" s="82">
        <f t="shared" ref="D14:Q14" si="9">D11*D13</f>
        <v>6070.1004000000003</v>
      </c>
      <c r="E14" s="82">
        <f t="shared" si="9"/>
        <v>7308.1517000000003</v>
      </c>
      <c r="F14" s="82">
        <f t="shared" si="9"/>
        <v>7784.5221999999994</v>
      </c>
      <c r="G14" s="72">
        <f t="shared" si="9"/>
        <v>8755.6583659999997</v>
      </c>
      <c r="H14" s="72">
        <f t="shared" si="9"/>
        <v>10072.929453405</v>
      </c>
      <c r="I14" s="72">
        <f t="shared" si="9"/>
        <v>11482.998499438374</v>
      </c>
      <c r="J14" s="72">
        <f t="shared" si="9"/>
        <v>13119.24713493369</v>
      </c>
      <c r="K14" s="72">
        <f t="shared" si="9"/>
        <v>15644.877599412901</v>
      </c>
      <c r="L14" s="72">
        <f t="shared" si="9"/>
        <v>18316.240449512654</v>
      </c>
      <c r="M14" s="72">
        <f t="shared" si="9"/>
        <v>21395.113248883114</v>
      </c>
      <c r="N14" s="72">
        <f t="shared" si="9"/>
        <v>24939.894512163977</v>
      </c>
      <c r="O14" s="72">
        <f>O11*O13</f>
        <v>29017.025093282959</v>
      </c>
      <c r="P14" s="72">
        <f t="shared" si="9"/>
        <v>32946.413907998365</v>
      </c>
      <c r="Q14" s="72">
        <f t="shared" si="9"/>
        <v>33605.342186158334</v>
      </c>
    </row>
    <row r="15" spans="1:28" x14ac:dyDescent="0.25">
      <c r="A15" s="100">
        <v>0.2</v>
      </c>
      <c r="B15" s="4" t="s">
        <v>39</v>
      </c>
      <c r="C15" s="82">
        <v>3664.8720000000003</v>
      </c>
      <c r="D15" s="82">
        <v>4002.2640000000001</v>
      </c>
      <c r="E15" s="82">
        <v>5015.7824000000001</v>
      </c>
      <c r="F15" s="82">
        <v>5832.7178000000004</v>
      </c>
      <c r="G15" s="72">
        <v>6353.9385359999997</v>
      </c>
      <c r="H15" s="72">
        <v>6854.3263070000003</v>
      </c>
      <c r="I15" s="72">
        <v>7499.8210410000002</v>
      </c>
      <c r="J15" s="72">
        <v>8596.4423999999999</v>
      </c>
      <c r="K15" s="72">
        <f t="shared" ref="K15:Q15" si="10">K14*(1-$A$15)</f>
        <v>12515.902079530322</v>
      </c>
      <c r="L15" s="72">
        <f t="shared" si="10"/>
        <v>14652.992359610123</v>
      </c>
      <c r="M15" s="72">
        <f t="shared" si="10"/>
        <v>17116.09059910649</v>
      </c>
      <c r="N15" s="72">
        <f t="shared" si="10"/>
        <v>19951.915609731182</v>
      </c>
      <c r="O15" s="72">
        <f>O14*(1-$A$15)</f>
        <v>23213.620074626368</v>
      </c>
      <c r="P15" s="72">
        <f t="shared" si="10"/>
        <v>26357.131126398694</v>
      </c>
      <c r="Q15" s="72">
        <f t="shared" si="10"/>
        <v>26884.273748926669</v>
      </c>
    </row>
    <row r="16" spans="1:28" ht="32.25" hidden="1" thickBot="1" x14ac:dyDescent="0.3">
      <c r="A16" s="13" t="s">
        <v>6</v>
      </c>
      <c r="B16" s="14"/>
      <c r="C16" s="15">
        <f t="shared" ref="C16:J16" si="11">C15/C14</f>
        <v>0.75949367088607589</v>
      </c>
      <c r="D16" s="15">
        <f t="shared" si="11"/>
        <v>0.65934065934065933</v>
      </c>
      <c r="E16" s="15">
        <f t="shared" si="11"/>
        <v>0.68632707774798929</v>
      </c>
      <c r="F16" s="15">
        <f t="shared" si="11"/>
        <v>0.74927113702623915</v>
      </c>
      <c r="G16" s="15">
        <f t="shared" si="11"/>
        <v>0.72569511856168734</v>
      </c>
      <c r="H16" s="15">
        <f t="shared" si="11"/>
        <v>0.68047000018281667</v>
      </c>
      <c r="I16" s="15">
        <f t="shared" si="11"/>
        <v>0.65312392415333087</v>
      </c>
      <c r="J16" s="15">
        <f t="shared" si="11"/>
        <v>0.65525424680121702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14.284933758992805</v>
      </c>
      <c r="H17" s="72">
        <f t="shared" ref="H17:O17" si="12">H15/H18</f>
        <v>15.433055849511677</v>
      </c>
      <c r="I17" s="72">
        <f t="shared" si="12"/>
        <v>16.911805821386672</v>
      </c>
      <c r="J17" s="72">
        <f t="shared" si="12"/>
        <v>19.413765138391401</v>
      </c>
      <c r="K17" s="72">
        <f t="shared" si="12"/>
        <v>28.307733693459255</v>
      </c>
      <c r="L17" s="72">
        <f t="shared" si="12"/>
        <v>33.191065820347937</v>
      </c>
      <c r="M17" s="72">
        <f t="shared" si="12"/>
        <v>38.828568785231887</v>
      </c>
      <c r="N17" s="72">
        <f t="shared" si="12"/>
        <v>45.329751285895746</v>
      </c>
      <c r="O17" s="72">
        <f t="shared" si="12"/>
        <v>52.819409305722509</v>
      </c>
      <c r="P17" s="72">
        <f>P15/P18</f>
        <v>60.062130845473988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444.8</v>
      </c>
      <c r="H18" s="72">
        <f>G18*0.9985</f>
        <v>444.13280000000003</v>
      </c>
      <c r="I18" s="72">
        <f t="shared" ref="I18:P18" si="13">H18*0.9985</f>
        <v>443.46660080000004</v>
      </c>
      <c r="J18" s="72">
        <f t="shared" si="13"/>
        <v>442.80140089880007</v>
      </c>
      <c r="K18" s="72">
        <f t="shared" si="13"/>
        <v>442.1371987974519</v>
      </c>
      <c r="L18" s="72">
        <f t="shared" si="13"/>
        <v>441.47399299925576</v>
      </c>
      <c r="M18" s="72">
        <f t="shared" si="13"/>
        <v>440.81178200975688</v>
      </c>
      <c r="N18" s="72">
        <f t="shared" si="13"/>
        <v>440.15056433674226</v>
      </c>
      <c r="O18" s="72">
        <f t="shared" si="13"/>
        <v>439.49033849023715</v>
      </c>
      <c r="P18" s="72">
        <f t="shared" si="13"/>
        <v>438.83110298250182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5814.6314673987636</v>
      </c>
      <c r="H19" s="53">
        <f>H15/(1+$C$55)^2</f>
        <v>5740.1487294773306</v>
      </c>
      <c r="I19" s="53">
        <f>I15/(1+$C$55)^3</f>
        <v>5747.6253952565785</v>
      </c>
      <c r="J19" s="53">
        <f>J15/(1+$C$55)^4</f>
        <v>6028.8641362166654</v>
      </c>
      <c r="K19" s="53">
        <f>K15/(1+$C$55)^5</f>
        <v>8032.6358816373731</v>
      </c>
      <c r="L19" s="53">
        <f>L15/(1+$C$55)^6</f>
        <v>8606.0017922003681</v>
      </c>
      <c r="M19" s="53">
        <f>M15/(1+$C$55)^7</f>
        <v>9199.3866049035314</v>
      </c>
      <c r="N19" s="53">
        <f>N15/(1+$C$55)^8</f>
        <v>9813.3678368898782</v>
      </c>
      <c r="O19" s="53">
        <f>O15/(1+$C$55)^9</f>
        <v>10448.538223873678</v>
      </c>
      <c r="P19" s="53">
        <f>P15/(1+$C$55)^10</f>
        <v>10856.503721519019</v>
      </c>
      <c r="Q19" s="54">
        <f>(Q15/(C55-Q12))/(1+C55)^10</f>
        <v>152214.89753882334</v>
      </c>
    </row>
    <row r="20" spans="1:18" x14ac:dyDescent="0.2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0">
        <f>(I27-I23)*I29</f>
        <v>5.5250000000000014E-2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79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79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79">
        <v>1.7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79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1">
        <f>I23+(I27-I23)*I29</f>
        <v>9.2750000000000013E-2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6" t="s">
        <v>34</v>
      </c>
      <c r="H33" s="22"/>
      <c r="I33" s="77">
        <f>I31</f>
        <v>9.2750000000000013E-2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9.2750000000000013E-2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45101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233270.91200000004</v>
      </c>
      <c r="D49" s="47">
        <f>SUM(G19:Q19)</f>
        <v>232502.60132819653</v>
      </c>
      <c r="E49" s="46" t="s">
        <v>46</v>
      </c>
    </row>
    <row r="50" spans="1:17" x14ac:dyDescent="0.25">
      <c r="A50" s="45"/>
      <c r="B50" s="46" t="s">
        <v>11</v>
      </c>
      <c r="C50" s="56">
        <v>444.8</v>
      </c>
      <c r="D50" s="56">
        <f>C50</f>
        <v>444.8</v>
      </c>
      <c r="E50" s="46"/>
    </row>
    <row r="51" spans="1:17" x14ac:dyDescent="0.25">
      <c r="A51" s="45"/>
      <c r="B51" s="46" t="s">
        <v>13</v>
      </c>
      <c r="C51" s="87">
        <v>524.44000000000005</v>
      </c>
      <c r="D51" s="87">
        <f>D49/(D50)</f>
        <v>522.71268284216842</v>
      </c>
      <c r="E51" s="46" t="s">
        <v>46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3.3045250565562068E-3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9.2750000000000013E-2</v>
      </c>
      <c r="D55" s="49"/>
      <c r="E55" s="46"/>
      <c r="J55" s="70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3">
        <v>0.108</v>
      </c>
      <c r="C57" s="50"/>
      <c r="D57" s="74">
        <f>SUM(H57:Q57)*1000</f>
        <v>173856314.52709043</v>
      </c>
      <c r="E57" s="46"/>
      <c r="F57" s="1" t="s">
        <v>23</v>
      </c>
      <c r="H57" s="1">
        <f>G15/(1+$B$57)</f>
        <v>5734.6015667870024</v>
      </c>
      <c r="I57" s="1">
        <f>H15/(1+$B$57)^2</f>
        <v>5583.2266051623237</v>
      </c>
      <c r="J57" s="1">
        <f>I15/(1+$B$57)^3</f>
        <v>5513.5538333363984</v>
      </c>
      <c r="K57" s="1">
        <f>J15/(1+$B$57)^4</f>
        <v>5703.7399425531075</v>
      </c>
      <c r="L57" s="1">
        <f>K15/(1+$B$57)^5</f>
        <v>7494.8570640131538</v>
      </c>
      <c r="M57" s="1">
        <f>L15/(1+$B$57)^6</f>
        <v>7919.3176062214789</v>
      </c>
      <c r="N57" s="1">
        <f>M15/(1+$B$57)^7</f>
        <v>8348.8422245406928</v>
      </c>
      <c r="O57" s="1">
        <f>N15/(1+$B$57)^8</f>
        <v>8783.477963913112</v>
      </c>
      <c r="P57" s="1">
        <f>O15/(1+$B$57)^9</f>
        <v>9223.2722615882467</v>
      </c>
      <c r="Q57" s="1">
        <f>(Q15/(B57-Q12))/(1+B57)^10</f>
        <v>109551.42545897492</v>
      </c>
    </row>
    <row r="58" spans="1:17" ht="16.5" thickBot="1" x14ac:dyDescent="0.3">
      <c r="A58" s="22"/>
      <c r="C58" s="65"/>
      <c r="D58" s="66"/>
    </row>
    <row r="59" spans="1:17" x14ac:dyDescent="0.25">
      <c r="A59" s="59" t="s">
        <v>42</v>
      </c>
      <c r="B59" s="23"/>
      <c r="C59" s="67">
        <v>21</v>
      </c>
      <c r="D59" s="23"/>
      <c r="E59" s="24"/>
    </row>
    <row r="60" spans="1:17" x14ac:dyDescent="0.25">
      <c r="A60" s="25" t="s">
        <v>21</v>
      </c>
      <c r="C60" s="68" t="s">
        <v>40</v>
      </c>
      <c r="E60" s="26"/>
    </row>
    <row r="61" spans="1:17" x14ac:dyDescent="0.25">
      <c r="A61" s="25"/>
      <c r="C61" s="68"/>
      <c r="E61" s="26"/>
    </row>
    <row r="62" spans="1:17" x14ac:dyDescent="0.25">
      <c r="A62" s="25" t="s">
        <v>37</v>
      </c>
      <c r="C62" s="68"/>
      <c r="E62" s="60">
        <f>P17*C59</f>
        <v>1261.3047477549537</v>
      </c>
    </row>
    <row r="63" spans="1:17" x14ac:dyDescent="0.25">
      <c r="A63" s="25"/>
      <c r="C63" s="68"/>
      <c r="E63" s="26"/>
    </row>
    <row r="64" spans="1:17" x14ac:dyDescent="0.25">
      <c r="A64" s="25" t="s">
        <v>17</v>
      </c>
      <c r="C64" s="69">
        <v>0.4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129.83288812176554</v>
      </c>
    </row>
    <row r="67" spans="1:5" x14ac:dyDescent="0.25">
      <c r="A67" s="25"/>
      <c r="E67" s="61"/>
    </row>
    <row r="68" spans="1:5" x14ac:dyDescent="0.25">
      <c r="A68" s="103" t="s">
        <v>47</v>
      </c>
      <c r="E68" s="104">
        <f>(E66*0.25)*-1</f>
        <v>-32.458222030441384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43</v>
      </c>
      <c r="E70" s="60">
        <f>SUM(E62:E68)</f>
        <v>1358.6794138462778</v>
      </c>
    </row>
    <row r="71" spans="1:5" x14ac:dyDescent="0.25">
      <c r="A71" s="25"/>
      <c r="E71" s="60"/>
    </row>
    <row r="72" spans="1:5" x14ac:dyDescent="0.25">
      <c r="A72" s="25" t="s">
        <v>44</v>
      </c>
      <c r="E72" s="62">
        <f>E70/C51-1</f>
        <v>1.5907242274545759</v>
      </c>
    </row>
    <row r="73" spans="1:5" x14ac:dyDescent="0.25">
      <c r="A73" s="25"/>
      <c r="E73" s="26"/>
    </row>
    <row r="74" spans="1:5" ht="16.5" thickBot="1" x14ac:dyDescent="0.3">
      <c r="A74" s="63" t="s">
        <v>45</v>
      </c>
      <c r="B74" s="64"/>
      <c r="C74" s="64"/>
      <c r="D74" s="64"/>
      <c r="E74" s="102">
        <f>(E70/C51)^(1/10)-1</f>
        <v>9.9871930394796138E-2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2023-06-24T12:23:10Z</dcterms:modified>
</cp:coreProperties>
</file>