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FE55273-04D9-4B76-A4EF-7D0E5AAA69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32" l="1"/>
  <c r="J12" i="34" l="1"/>
  <c r="G11" i="35" l="1"/>
  <c r="H12" i="35" l="1"/>
  <c r="H11" i="35" s="1"/>
  <c r="I12" i="35" l="1"/>
  <c r="J12" i="35" s="1"/>
  <c r="K12" i="35" s="1"/>
  <c r="L12" i="35" s="1"/>
  <c r="M12" i="35" s="1"/>
  <c r="N12" i="35" s="1"/>
  <c r="O12" i="35" s="1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I11" i="35" l="1"/>
  <c r="J11" i="35" s="1"/>
  <c r="K11" i="35" s="1"/>
  <c r="L11" i="35" s="1"/>
  <c r="D14" i="34" l="1"/>
  <c r="E14" i="34"/>
  <c r="F14" i="34"/>
  <c r="G14" i="34"/>
  <c r="H14" i="34"/>
  <c r="I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H14" i="35" l="1"/>
  <c r="G14" i="35"/>
  <c r="I14" i="35" l="1"/>
  <c r="I57" i="35" l="1"/>
  <c r="H19" i="35"/>
  <c r="H17" i="35"/>
  <c r="H16" i="35"/>
  <c r="H57" i="35"/>
  <c r="G19" i="35"/>
  <c r="G17" i="35"/>
  <c r="G16" i="35"/>
  <c r="J14" i="35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J14" i="34" l="1"/>
  <c r="J16" i="34" l="1"/>
  <c r="K11" i="34"/>
  <c r="J19" i="34" l="1"/>
  <c r="K57" i="34"/>
  <c r="J17" i="34"/>
  <c r="K14" i="34"/>
  <c r="K15" i="34" s="1"/>
  <c r="L11" i="34"/>
  <c r="L14" i="34" l="1"/>
  <c r="L15" i="34" s="1"/>
  <c r="M11" i="34"/>
  <c r="K19" i="34"/>
  <c r="K17" i="34"/>
  <c r="L57" i="34"/>
  <c r="N11" i="34" l="1"/>
  <c r="M14" i="34"/>
  <c r="M15" i="34" s="1"/>
  <c r="M57" i="34"/>
  <c r="L19" i="34"/>
  <c r="L17" i="34"/>
  <c r="M19" i="34" l="1"/>
  <c r="N57" i="34"/>
  <c r="M17" i="34"/>
  <c r="N14" i="34"/>
  <c r="N15" i="34" s="1"/>
  <c r="O11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O19" i="34"/>
  <c r="P57" i="34"/>
  <c r="O17" i="34"/>
  <c r="D43" i="34" l="1"/>
  <c r="D42" i="34"/>
  <c r="D40" i="34"/>
  <c r="D44" i="34"/>
  <c r="D41" i="34"/>
  <c r="P17" i="34"/>
  <c r="P19" i="34"/>
  <c r="Q19" i="34"/>
  <c r="Q57" i="34"/>
  <c r="D57" i="34" s="1"/>
  <c r="D49" i="34" l="1"/>
  <c r="D51" i="34" s="1"/>
  <c r="D52" i="34" s="1"/>
  <c r="E62" i="34"/>
  <c r="E66" i="34"/>
  <c r="E68" i="34" s="1"/>
  <c r="D53" i="34" l="1"/>
  <c r="E70" i="34"/>
  <c r="E74" i="34" s="1"/>
  <c r="E72" i="34" l="1"/>
  <c r="J14" i="32"/>
  <c r="J19" i="32" l="1"/>
  <c r="K57" i="32"/>
  <c r="J16" i="32"/>
  <c r="J17" i="32"/>
  <c r="K11" i="32"/>
  <c r="L11" i="32" l="1"/>
  <c r="K14" i="32"/>
  <c r="K15" i="32" s="1"/>
  <c r="K17" i="32" l="1"/>
  <c r="L57" i="32"/>
  <c r="K19" i="32"/>
  <c r="L14" i="32"/>
  <c r="L15" i="32" s="1"/>
  <c r="M11" i="32"/>
  <c r="M14" i="32" l="1"/>
  <c r="M15" i="32" s="1"/>
  <c r="N11" i="32"/>
  <c r="L19" i="32"/>
  <c r="M57" i="32"/>
  <c r="L17" i="32"/>
  <c r="N14" i="32" l="1"/>
  <c r="N15" i="32" s="1"/>
  <c r="O11" i="32"/>
  <c r="N57" i="32"/>
  <c r="M17" i="32"/>
  <c r="M19" i="32"/>
  <c r="P11" i="32" l="1"/>
  <c r="O14" i="32"/>
  <c r="O15" i="32" s="1"/>
  <c r="O57" i="32"/>
  <c r="N19" i="32"/>
  <c r="N17" i="32"/>
  <c r="O17" i="32" l="1"/>
  <c r="P57" i="32"/>
  <c r="O19" i="32"/>
  <c r="Q11" i="32"/>
  <c r="Q14" i="32" s="1"/>
  <c r="Q15" i="32" s="1"/>
  <c r="P14" i="32"/>
  <c r="P15" i="32" s="1"/>
  <c r="D43" i="32" l="1"/>
  <c r="D44" i="32"/>
  <c r="D42" i="32"/>
  <c r="D40" i="32"/>
  <c r="D41" i="32"/>
  <c r="P19" i="32"/>
  <c r="P17" i="32"/>
  <c r="E62" i="32" s="1"/>
  <c r="Q57" i="32"/>
  <c r="D57" i="32" s="1"/>
  <c r="Q19" i="32"/>
  <c r="D49" i="32" l="1"/>
  <c r="D51" i="32" s="1"/>
  <c r="D52" i="32" s="1"/>
  <c r="E66" i="32"/>
  <c r="E68" i="32" s="1"/>
  <c r="E70" i="32" l="1"/>
  <c r="E74" i="32" s="1"/>
  <c r="D53" i="32"/>
  <c r="E72" i="32" l="1"/>
</calcChain>
</file>

<file path=xl/sharedStrings.xml><?xml version="1.0" encoding="utf-8"?>
<sst xmlns="http://schemas.openxmlformats.org/spreadsheetml/2006/main" count="149" uniqueCount="49">
  <si>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</si>
  <si>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</si>
  <si>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</si>
  <si>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</si>
  <si>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</si>
  <si>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</si>
  <si>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</si>
  <si>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</si>
  <si>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</si>
  <si>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</si>
  <si>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</si>
  <si>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</si>
  <si>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</si>
  <si>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</si>
  <si>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</si>
  <si>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</si>
  <si>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</si>
  <si>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</si>
  <si>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</si>
  <si>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</si>
  <si>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</si>
  <si>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</si>
  <si>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</si>
  <si>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</si>
  <si>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</si>
  <si>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</si>
  <si>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</si>
  <si>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</si>
  <si>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</si>
  <si>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</si>
  <si>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</si>
  <si>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</si>
  <si>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</si>
  <si>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</si>
  <si>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</si>
  <si>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</si>
  <si>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</si>
  <si>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</si>
  <si>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</si>
  <si>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</si>
  <si>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</si>
  <si>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2033ff.</t>
  </si>
  <si>
    <t>KGV Multiple in 2032</t>
  </si>
  <si>
    <t>Gesamtwert 2032</t>
  </si>
  <si>
    <t>Steigerung Gesamt bis 2032 in Prozent</t>
  </si>
  <si>
    <t>Renditeerwartung bis 2032 pro Jahr</t>
  </si>
  <si>
    <t>USD</t>
  </si>
  <si>
    <t xml:space="preserve"> Annahmen für Globant</t>
  </si>
  <si>
    <t>Quellensteuer Luxemburg (25 %)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</si>
</sst>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10" fontId="0" fillId="2" borderId="7" xfId="0" applyNumberFormat="1" applyFill="1" applyBorder="1"/>
    <xf numFmtId="4" fontId="13" fillId="2" borderId="8" xfId="0" quotePrefix="1" applyNumberFormat="1" applyFont="1" applyFill="1" applyBorder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topLeftCell="A50" zoomScaleNormal="100" workbookViewId="0">
      <selection activeCell="C51" sqref="C51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47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35">
      <c r="A11" s="5"/>
      <c r="B11" s="4" t="s">
        <v>4</v>
      </c>
      <c r="C11" s="82">
        <v>659.33</v>
      </c>
      <c r="D11" s="82">
        <v>814.14</v>
      </c>
      <c r="E11" s="82">
        <v>1297.08</v>
      </c>
      <c r="F11" s="82">
        <v>1780.24</v>
      </c>
      <c r="G11" s="72">
        <v>2073.3000000000002</v>
      </c>
      <c r="H11" s="72">
        <v>2518.36</v>
      </c>
      <c r="I11" s="72">
        <v>3154.44</v>
      </c>
      <c r="J11" s="72">
        <v>4322</v>
      </c>
      <c r="K11" s="72">
        <f t="shared" ref="K11" si="0">J11*(1+K12)</f>
        <v>3673.7</v>
      </c>
      <c r="L11" s="72">
        <f t="shared" ref="L11:Q11" si="1">K11*(1+L12)</f>
        <v>4114.5439999999999</v>
      </c>
      <c r="M11" s="72">
        <f t="shared" si="1"/>
        <v>4361.4166400000004</v>
      </c>
      <c r="N11" s="72">
        <f t="shared" si="1"/>
        <v>4579.4874720000007</v>
      </c>
      <c r="O11" s="72">
        <f t="shared" si="1"/>
        <v>4762.6669708800009</v>
      </c>
      <c r="P11" s="72">
        <f t="shared" si="1"/>
        <v>4905.5469800064011</v>
      </c>
      <c r="Q11" s="72">
        <f t="shared" si="1"/>
        <v>4979.1301847064969</v>
      </c>
    </row>
    <row r="12" spans="1:28" x14ac:dyDescent="0.35">
      <c r="A12" s="5"/>
      <c r="B12" s="4" t="s">
        <v>1</v>
      </c>
      <c r="C12" s="86"/>
      <c r="D12" s="89">
        <f t="shared" ref="D12:J12" si="2">D11/C11-1</f>
        <v>0.2347989625832283</v>
      </c>
      <c r="E12" s="89">
        <f t="shared" si="2"/>
        <v>0.59319036038027861</v>
      </c>
      <c r="F12" s="89">
        <f t="shared" si="2"/>
        <v>0.37249822678632016</v>
      </c>
      <c r="G12" s="85">
        <f t="shared" si="2"/>
        <v>0.16461825371859984</v>
      </c>
      <c r="H12" s="85">
        <f t="shared" si="2"/>
        <v>0.21466261515458451</v>
      </c>
      <c r="I12" s="85">
        <f t="shared" si="2"/>
        <v>0.25257707396877338</v>
      </c>
      <c r="J12" s="85">
        <f t="shared" si="2"/>
        <v>0.37013225802361105</v>
      </c>
      <c r="K12" s="85">
        <v>-0.15</v>
      </c>
      <c r="L12" s="71">
        <v>0.12</v>
      </c>
      <c r="M12" s="71">
        <v>0.06</v>
      </c>
      <c r="N12" s="71">
        <v>0.05</v>
      </c>
      <c r="O12" s="71">
        <v>0.04</v>
      </c>
      <c r="P12" s="71">
        <v>0.03</v>
      </c>
      <c r="Q12" s="12">
        <v>1.4999999999999999E-2</v>
      </c>
    </row>
    <row r="13" spans="1:28" ht="16" customHeight="1" x14ac:dyDescent="0.35">
      <c r="A13" s="5"/>
      <c r="B13" s="4" t="s">
        <v>15</v>
      </c>
      <c r="C13" s="88">
        <v>0.1381</v>
      </c>
      <c r="D13" s="88">
        <v>0.1149</v>
      </c>
      <c r="E13" s="88">
        <v>0.12709999999999999</v>
      </c>
      <c r="F13" s="88">
        <v>0.1273</v>
      </c>
      <c r="G13" s="84">
        <v>0.1226</v>
      </c>
      <c r="H13" s="84">
        <v>0.15790000000000001</v>
      </c>
      <c r="I13" s="84">
        <v>0.1608</v>
      </c>
      <c r="J13" s="84">
        <v>0.15989999999999999</v>
      </c>
      <c r="K13" s="84">
        <v>0.16</v>
      </c>
      <c r="L13" s="84">
        <v>0.155</v>
      </c>
      <c r="M13" s="84">
        <v>0.15</v>
      </c>
      <c r="N13" s="84">
        <v>0.14499999999999999</v>
      </c>
      <c r="O13" s="84">
        <v>0.14000000000000001</v>
      </c>
      <c r="P13" s="84">
        <v>0.14000000000000001</v>
      </c>
      <c r="Q13" s="84">
        <v>0.14000000000000001</v>
      </c>
    </row>
    <row r="14" spans="1:28" ht="17.149999999999999" customHeight="1" x14ac:dyDescent="0.35">
      <c r="A14" s="5"/>
      <c r="B14" s="4" t="s">
        <v>16</v>
      </c>
      <c r="C14" s="82">
        <f>C11*C13</f>
        <v>91.053473000000011</v>
      </c>
      <c r="D14" s="82">
        <f t="shared" ref="D14:I14" si="3">D11*D13</f>
        <v>93.544685999999999</v>
      </c>
      <c r="E14" s="82">
        <f t="shared" si="3"/>
        <v>164.85886799999997</v>
      </c>
      <c r="F14" s="82">
        <f t="shared" si="3"/>
        <v>226.62455199999999</v>
      </c>
      <c r="G14" s="72">
        <f t="shared" si="3"/>
        <v>254.18658000000002</v>
      </c>
      <c r="H14" s="72">
        <f t="shared" si="3"/>
        <v>397.64904400000006</v>
      </c>
      <c r="I14" s="72">
        <f t="shared" si="3"/>
        <v>507.23395199999999</v>
      </c>
      <c r="J14" s="72">
        <f>J11*J13</f>
        <v>691.0877999999999</v>
      </c>
      <c r="K14" s="72">
        <f t="shared" ref="K14:Q14" si="4">K11*K13</f>
        <v>587.79200000000003</v>
      </c>
      <c r="L14" s="72">
        <f t="shared" si="4"/>
        <v>637.75432000000001</v>
      </c>
      <c r="M14" s="72">
        <f t="shared" si="4"/>
        <v>654.21249599999999</v>
      </c>
      <c r="N14" s="72">
        <f t="shared" si="4"/>
        <v>664.02568344000008</v>
      </c>
      <c r="O14" s="72">
        <f t="shared" si="4"/>
        <v>666.77337592320021</v>
      </c>
      <c r="P14" s="72">
        <f>P11*P13</f>
        <v>686.77657720089621</v>
      </c>
      <c r="Q14" s="72">
        <f t="shared" si="4"/>
        <v>697.0782258589096</v>
      </c>
    </row>
    <row r="15" spans="1:28" x14ac:dyDescent="0.35">
      <c r="A15" s="100">
        <v>0.25</v>
      </c>
      <c r="B15" s="4" t="s">
        <v>39</v>
      </c>
      <c r="C15" s="82">
        <v>53.999127000000001</v>
      </c>
      <c r="D15" s="82">
        <v>54.221724000000002</v>
      </c>
      <c r="E15" s="82">
        <v>96.113627999999991</v>
      </c>
      <c r="F15" s="82">
        <v>148.82806399999998</v>
      </c>
      <c r="G15" s="72">
        <v>248.17401000000001</v>
      </c>
      <c r="H15" s="72">
        <v>307.74359200000004</v>
      </c>
      <c r="I15" s="72">
        <v>394.62044399999996</v>
      </c>
      <c r="J15" s="72">
        <v>540.68219999999997</v>
      </c>
      <c r="K15" s="72">
        <f t="shared" ref="K15:Q15" si="5">K14*(1-$A$15)</f>
        <v>440.84400000000005</v>
      </c>
      <c r="L15" s="72">
        <f t="shared" si="5"/>
        <v>478.31574000000001</v>
      </c>
      <c r="M15" s="72">
        <f t="shared" si="5"/>
        <v>490.65937199999996</v>
      </c>
      <c r="N15" s="72">
        <f t="shared" si="5"/>
        <v>498.01926258000003</v>
      </c>
      <c r="O15" s="72">
        <f t="shared" si="5"/>
        <v>500.08003194240018</v>
      </c>
      <c r="P15" s="72">
        <f>P14*(1-$A$15)</f>
        <v>515.08243290067219</v>
      </c>
      <c r="Q15" s="72">
        <f t="shared" si="5"/>
        <v>522.80866939418217</v>
      </c>
    </row>
    <row r="16" spans="1:28" ht="31.5" hidden="1" thickBot="1" x14ac:dyDescent="0.4">
      <c r="A16" s="13" t="s">
        <v>6</v>
      </c>
      <c r="B16" s="14"/>
      <c r="C16" s="15">
        <f t="shared" ref="C16:J16" si="6">C15/C14</f>
        <v>0.59304851556842864</v>
      </c>
      <c r="D16" s="15">
        <f t="shared" si="6"/>
        <v>0.57963446475195823</v>
      </c>
      <c r="E16" s="15">
        <f t="shared" si="6"/>
        <v>0.58300550747442959</v>
      </c>
      <c r="F16" s="15">
        <f t="shared" si="6"/>
        <v>0.65671641791044766</v>
      </c>
      <c r="G16" s="15">
        <f t="shared" si="6"/>
        <v>0.97634584013050563</v>
      </c>
      <c r="H16" s="15">
        <f t="shared" si="6"/>
        <v>0.77390753641545273</v>
      </c>
      <c r="I16" s="15">
        <f t="shared" si="6"/>
        <v>0.77798507462686561</v>
      </c>
      <c r="J16" s="15">
        <f t="shared" si="6"/>
        <v>0.78236397748592879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5.7849419580419585</v>
      </c>
      <c r="H17" s="72">
        <f t="shared" ref="H17:P17" si="7">H15/H18</f>
        <v>7.1735103030303042</v>
      </c>
      <c r="I17" s="72">
        <f t="shared" si="7"/>
        <v>9.1986117482517482</v>
      </c>
      <c r="J17" s="72">
        <f t="shared" si="7"/>
        <v>12.603314685314684</v>
      </c>
      <c r="K17" s="72">
        <f t="shared" si="7"/>
        <v>10.276083916083918</v>
      </c>
      <c r="L17" s="72">
        <f t="shared" si="7"/>
        <v>11.14955104895105</v>
      </c>
      <c r="M17" s="72">
        <f t="shared" si="7"/>
        <v>11.437281398601398</v>
      </c>
      <c r="N17" s="72">
        <f t="shared" si="7"/>
        <v>11.608840619580421</v>
      </c>
      <c r="O17" s="72">
        <f t="shared" si="7"/>
        <v>11.656877201454551</v>
      </c>
      <c r="P17" s="72">
        <f t="shared" si="7"/>
        <v>12.006583517498187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42.9</v>
      </c>
      <c r="H18" s="72">
        <f>G18*1</f>
        <v>42.9</v>
      </c>
      <c r="I18" s="72">
        <f t="shared" ref="I18:P18" si="8">H18*1</f>
        <v>42.9</v>
      </c>
      <c r="J18" s="72">
        <f t="shared" si="8"/>
        <v>42.9</v>
      </c>
      <c r="K18" s="72">
        <f t="shared" si="8"/>
        <v>42.9</v>
      </c>
      <c r="L18" s="72">
        <f t="shared" si="8"/>
        <v>42.9</v>
      </c>
      <c r="M18" s="72">
        <f t="shared" si="8"/>
        <v>42.9</v>
      </c>
      <c r="N18" s="72">
        <f t="shared" si="8"/>
        <v>42.9</v>
      </c>
      <c r="O18" s="72">
        <f t="shared" si="8"/>
        <v>42.9</v>
      </c>
      <c r="P18" s="72">
        <f t="shared" si="8"/>
        <v>42.9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225.76666818285193</v>
      </c>
      <c r="H19" s="53">
        <f>H15/(1+$C$55)^2</f>
        <v>254.68072060420792</v>
      </c>
      <c r="I19" s="53">
        <f>I15/(1+$C$55)^3</f>
        <v>297.09145314087266</v>
      </c>
      <c r="J19" s="53">
        <f>J15/(1+$C$55)^4</f>
        <v>370.30210009681116</v>
      </c>
      <c r="K19" s="53">
        <f>K15/(1+$C$55)^5</f>
        <v>274.66452008190851</v>
      </c>
      <c r="L19" s="53">
        <f>L15/(1+$C$55)^6</f>
        <v>271.10393840242955</v>
      </c>
      <c r="M19" s="53">
        <f>M15/(1+$C$55)^7</f>
        <v>252.99082926620815</v>
      </c>
      <c r="N19" s="53">
        <f>N15/(1+$C$55)^8</f>
        <v>233.60081119417902</v>
      </c>
      <c r="O19" s="53">
        <f>O15/(1+$C$55)^9</f>
        <v>213.38861518353406</v>
      </c>
      <c r="P19" s="53">
        <f>P15/(1+$C$55)^10</f>
        <v>199.94566626248812</v>
      </c>
      <c r="Q19" s="54">
        <f>(Q15/(C55-Q12))/(1+C55)^10</f>
        <v>2408.8409644679573</v>
      </c>
    </row>
    <row r="20" spans="1:18" x14ac:dyDescent="0.35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90" t="s">
        <v>25</v>
      </c>
      <c r="H23" s="91"/>
      <c r="I23" s="92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35">
      <c r="A25" s="35"/>
      <c r="B25" s="36"/>
      <c r="C25" s="36"/>
      <c r="D25" s="38"/>
      <c r="F25" s="36"/>
      <c r="G25" s="93" t="s">
        <v>27</v>
      </c>
      <c r="H25" s="6"/>
      <c r="I25" s="95">
        <f>(I27-I23)*I29</f>
        <v>6.1750000000000013E-2</v>
      </c>
      <c r="J25" s="26"/>
    </row>
    <row r="26" spans="1:18" x14ac:dyDescent="0.35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35">
      <c r="A27" s="35"/>
      <c r="B27" s="36"/>
      <c r="C27" s="36"/>
      <c r="D27" s="38"/>
      <c r="F27" s="36"/>
      <c r="G27" s="93" t="s">
        <v>28</v>
      </c>
      <c r="H27" s="6"/>
      <c r="I27" s="96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35">
      <c r="A29" s="35"/>
      <c r="B29" s="36"/>
      <c r="C29" s="36"/>
      <c r="D29" s="39"/>
      <c r="F29" s="36"/>
      <c r="G29" s="93" t="s">
        <v>35</v>
      </c>
      <c r="H29" s="6"/>
      <c r="I29" s="79">
        <v>1.9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35">
      <c r="A31" s="35"/>
      <c r="B31" s="36"/>
      <c r="C31" s="36"/>
      <c r="D31" s="37"/>
      <c r="F31" s="36"/>
      <c r="G31" s="93" t="s">
        <v>31</v>
      </c>
      <c r="H31" s="6"/>
      <c r="I31" s="96">
        <f>I23+(I27-I23)*I29</f>
        <v>9.9250000000000005E-2</v>
      </c>
      <c r="J31" s="26" t="s">
        <v>32</v>
      </c>
    </row>
    <row r="32" spans="1:18" x14ac:dyDescent="0.35">
      <c r="A32" s="25"/>
      <c r="C32" s="41"/>
      <c r="E32" s="36"/>
      <c r="F32" s="36"/>
      <c r="G32" s="93"/>
      <c r="H32" s="6"/>
      <c r="I32" s="6"/>
      <c r="J32" s="26"/>
    </row>
    <row r="33" spans="1:10" x14ac:dyDescent="0.35">
      <c r="A33" s="25"/>
      <c r="G33" s="97" t="s">
        <v>34</v>
      </c>
      <c r="H33" s="98"/>
      <c r="I33" s="99">
        <f>I31</f>
        <v>9.9250000000000005E-2</v>
      </c>
      <c r="J33" s="26"/>
    </row>
    <row r="34" spans="1:10" x14ac:dyDescent="0.35">
      <c r="A34" s="35" t="s">
        <v>7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45094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7889.31</v>
      </c>
      <c r="D49" s="47">
        <f>SUM(G19:Q19)</f>
        <v>5002.3762868834483</v>
      </c>
      <c r="E49" s="46" t="s">
        <v>46</v>
      </c>
    </row>
    <row r="50" spans="1:17" x14ac:dyDescent="0.35">
      <c r="A50" s="45"/>
      <c r="B50" s="46" t="s">
        <v>11</v>
      </c>
      <c r="C50" s="56">
        <v>42.9</v>
      </c>
      <c r="D50" s="56">
        <f>C50</f>
        <v>42.9</v>
      </c>
      <c r="E50" s="46"/>
    </row>
    <row r="51" spans="1:17" x14ac:dyDescent="0.35">
      <c r="A51" s="45"/>
      <c r="B51" s="46" t="s">
        <v>13</v>
      </c>
      <c r="C51" s="87">
        <v>183.9</v>
      </c>
      <c r="D51" s="56">
        <f>D49/(D50)</f>
        <v>116.60550785276104</v>
      </c>
      <c r="E51" s="46" t="s">
        <v>46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0.57711246566682273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3">
        <v>0.108</v>
      </c>
      <c r="C57" s="50"/>
      <c r="D57" s="74">
        <f>SUM(H57:Q57)*1000</f>
        <v>4319145.3450807314</v>
      </c>
      <c r="E57" s="46"/>
      <c r="F57" s="1" t="s">
        <v>23</v>
      </c>
      <c r="H57" s="1">
        <f>G15/(1+$B$57)</f>
        <v>223.98376353790613</v>
      </c>
      <c r="I57" s="1">
        <f>H15/(1+$B$57)^2</f>
        <v>250.67411930300145</v>
      </c>
      <c r="J57" s="1">
        <f>I15/(1+$B$57)^3</f>
        <v>290.10839723170284</v>
      </c>
      <c r="K57" s="1">
        <f>J15/(1+$B$57)^4</f>
        <v>358.74266549700695</v>
      </c>
      <c r="L57" s="1">
        <f>K15/(1+$B$57)^5</f>
        <v>263.98918324325888</v>
      </c>
      <c r="M57" s="1">
        <f>L15/(1+$B$57)^6</f>
        <v>258.50926337449084</v>
      </c>
      <c r="N57" s="1">
        <f>M15/(1+$B$57)^7</f>
        <v>239.33255430618397</v>
      </c>
      <c r="O57" s="1">
        <f>N15/(1+$B$57)^8</f>
        <v>219.24417204041217</v>
      </c>
      <c r="P57" s="1">
        <f>O15/(1+$B$57)^9</f>
        <v>198.69258962457374</v>
      </c>
      <c r="Q57" s="1">
        <f>(Q15/(B57-Q12))/(1+B57)^10</f>
        <v>2015.8686369221939</v>
      </c>
    </row>
    <row r="58" spans="1:17" ht="16" thickBot="1" x14ac:dyDescent="0.4">
      <c r="A58" s="22"/>
      <c r="C58" s="65"/>
      <c r="D58" s="66"/>
    </row>
    <row r="59" spans="1:17" x14ac:dyDescent="0.35">
      <c r="A59" s="59" t="s">
        <v>42</v>
      </c>
      <c r="B59" s="23"/>
      <c r="C59" s="67">
        <v>18</v>
      </c>
      <c r="D59" s="23"/>
      <c r="E59" s="24"/>
    </row>
    <row r="60" spans="1:17" x14ac:dyDescent="0.35">
      <c r="A60" s="25" t="s">
        <v>21</v>
      </c>
      <c r="C60" s="68"/>
      <c r="E60" s="26"/>
    </row>
    <row r="61" spans="1:17" x14ac:dyDescent="0.35">
      <c r="A61" s="25"/>
      <c r="C61" s="68"/>
      <c r="E61" s="26"/>
    </row>
    <row r="62" spans="1:17" x14ac:dyDescent="0.35">
      <c r="A62" s="25" t="s">
        <v>37</v>
      </c>
      <c r="C62" s="68"/>
      <c r="E62" s="60">
        <f>P17*C59</f>
        <v>216.11850331496737</v>
      </c>
    </row>
    <row r="63" spans="1:17" x14ac:dyDescent="0.35">
      <c r="A63" s="25"/>
      <c r="C63" s="68"/>
      <c r="E63" s="26"/>
    </row>
    <row r="64" spans="1:17" x14ac:dyDescent="0.35">
      <c r="A64" s="25" t="s">
        <v>17</v>
      </c>
      <c r="C64" s="69">
        <v>0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0</v>
      </c>
    </row>
    <row r="67" spans="1:5" x14ac:dyDescent="0.35">
      <c r="A67" s="25"/>
      <c r="E67" s="61"/>
    </row>
    <row r="68" spans="1:5" x14ac:dyDescent="0.35">
      <c r="A68" s="103" t="s">
        <v>48</v>
      </c>
      <c r="E68" s="104">
        <f>(E66*0.25)*-1</f>
        <v>0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43</v>
      </c>
      <c r="E70" s="60">
        <f>SUM(E62:E68)</f>
        <v>216.11850331496737</v>
      </c>
    </row>
    <row r="71" spans="1:5" x14ac:dyDescent="0.35">
      <c r="A71" s="25"/>
      <c r="E71" s="60"/>
    </row>
    <row r="72" spans="1:5" x14ac:dyDescent="0.35">
      <c r="A72" s="25" t="s">
        <v>44</v>
      </c>
      <c r="E72" s="62">
        <f>E70/C51-1</f>
        <v>0.1751957765903609</v>
      </c>
    </row>
    <row r="73" spans="1:5" x14ac:dyDescent="0.35">
      <c r="A73" s="25"/>
      <c r="E73" s="26"/>
    </row>
    <row r="74" spans="1:5" ht="16" thickBot="1" x14ac:dyDescent="0.4">
      <c r="A74" s="63" t="s">
        <v>45</v>
      </c>
      <c r="B74" s="64"/>
      <c r="C74" s="64"/>
      <c r="D74" s="64"/>
      <c r="E74" s="102">
        <f>(E70/C51)^(1/10)-1</f>
        <v>1.6274485140840289E-2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55" zoomScaleNormal="100" workbookViewId="0">
      <selection activeCell="C51" sqref="C51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47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35">
      <c r="A11" s="5"/>
      <c r="B11" s="4" t="s">
        <v>4</v>
      </c>
      <c r="C11" s="82">
        <v>659.33</v>
      </c>
      <c r="D11" s="82">
        <v>814.14</v>
      </c>
      <c r="E11" s="82">
        <v>1297.08</v>
      </c>
      <c r="F11" s="82">
        <v>1780.24</v>
      </c>
      <c r="G11" s="72">
        <v>2073.3000000000002</v>
      </c>
      <c r="H11" s="72">
        <v>2518.36</v>
      </c>
      <c r="I11" s="72">
        <v>3154.44</v>
      </c>
      <c r="J11" s="72">
        <v>4322</v>
      </c>
      <c r="K11" s="72">
        <f t="shared" ref="K11" si="0">J11*(1+K12)</f>
        <v>4970.2999999999993</v>
      </c>
      <c r="L11" s="72">
        <f t="shared" ref="L11:Q11" si="1">K11*(1+L12)</f>
        <v>5566.7359999999999</v>
      </c>
      <c r="M11" s="72">
        <f t="shared" si="1"/>
        <v>6123.4096</v>
      </c>
      <c r="N11" s="72">
        <f t="shared" si="1"/>
        <v>6613.2823680000001</v>
      </c>
      <c r="O11" s="72">
        <f t="shared" si="1"/>
        <v>7010.0793100800001</v>
      </c>
      <c r="P11" s="72">
        <f t="shared" si="1"/>
        <v>7290.4824824832003</v>
      </c>
      <c r="Q11" s="72">
        <f t="shared" si="1"/>
        <v>7436.292132132864</v>
      </c>
    </row>
    <row r="12" spans="1:28" x14ac:dyDescent="0.35">
      <c r="A12" s="5"/>
      <c r="B12" s="4" t="s">
        <v>1</v>
      </c>
      <c r="C12" s="89"/>
      <c r="D12" s="89">
        <f t="shared" ref="D12:J12" si="2">D11/C11-1</f>
        <v>0.2347989625832283</v>
      </c>
      <c r="E12" s="89">
        <f t="shared" si="2"/>
        <v>0.59319036038027861</v>
      </c>
      <c r="F12" s="89">
        <f t="shared" si="2"/>
        <v>0.37249822678632016</v>
      </c>
      <c r="G12" s="85">
        <f t="shared" si="2"/>
        <v>0.16461825371859984</v>
      </c>
      <c r="H12" s="85">
        <f t="shared" si="2"/>
        <v>0.21466261515458451</v>
      </c>
      <c r="I12" s="85">
        <f t="shared" si="2"/>
        <v>0.25257707396877338</v>
      </c>
      <c r="J12" s="85">
        <f t="shared" si="2"/>
        <v>0.37013225802361105</v>
      </c>
      <c r="K12" s="85">
        <v>0.15</v>
      </c>
      <c r="L12" s="71">
        <v>0.12</v>
      </c>
      <c r="M12" s="71">
        <v>0.1</v>
      </c>
      <c r="N12" s="71">
        <v>0.08</v>
      </c>
      <c r="O12" s="71">
        <v>0.06</v>
      </c>
      <c r="P12" s="71">
        <v>0.04</v>
      </c>
      <c r="Q12" s="12">
        <v>0.02</v>
      </c>
    </row>
    <row r="13" spans="1:28" ht="16" customHeight="1" x14ac:dyDescent="0.35">
      <c r="A13" s="5"/>
      <c r="B13" s="4" t="s">
        <v>15</v>
      </c>
      <c r="C13" s="88">
        <v>0.1381</v>
      </c>
      <c r="D13" s="88">
        <v>0.1149</v>
      </c>
      <c r="E13" s="88">
        <v>0.12709999999999999</v>
      </c>
      <c r="F13" s="88">
        <v>0.1273</v>
      </c>
      <c r="G13" s="84">
        <v>0.1226</v>
      </c>
      <c r="H13" s="84">
        <v>0.15790000000000001</v>
      </c>
      <c r="I13" s="84">
        <v>0.1608</v>
      </c>
      <c r="J13" s="84">
        <v>0.15989999999999999</v>
      </c>
      <c r="K13" s="84">
        <v>0.16</v>
      </c>
      <c r="L13" s="84">
        <v>0.17</v>
      </c>
      <c r="M13" s="84">
        <v>0.18</v>
      </c>
      <c r="N13" s="84">
        <v>0.18</v>
      </c>
      <c r="O13" s="84">
        <v>0.18</v>
      </c>
      <c r="P13" s="84">
        <v>0.18</v>
      </c>
      <c r="Q13" s="84">
        <v>0.18</v>
      </c>
    </row>
    <row r="14" spans="1:28" ht="17.149999999999999" customHeight="1" x14ac:dyDescent="0.35">
      <c r="A14" s="5"/>
      <c r="B14" s="4" t="s">
        <v>16</v>
      </c>
      <c r="C14" s="82">
        <f>C11*C13</f>
        <v>91.053473000000011</v>
      </c>
      <c r="D14" s="82">
        <f t="shared" ref="D14:J14" si="3">D11*D13</f>
        <v>93.544685999999999</v>
      </c>
      <c r="E14" s="82">
        <f t="shared" si="3"/>
        <v>164.85886799999997</v>
      </c>
      <c r="F14" s="82">
        <f t="shared" si="3"/>
        <v>226.62455199999999</v>
      </c>
      <c r="G14" s="72">
        <f t="shared" si="3"/>
        <v>254.18658000000002</v>
      </c>
      <c r="H14" s="72">
        <f t="shared" si="3"/>
        <v>397.64904400000006</v>
      </c>
      <c r="I14" s="72">
        <f t="shared" si="3"/>
        <v>507.23395199999999</v>
      </c>
      <c r="J14" s="72">
        <f t="shared" si="3"/>
        <v>691.0877999999999</v>
      </c>
      <c r="K14" s="72">
        <f t="shared" ref="K14:Q14" si="4">K11*K13</f>
        <v>795.24799999999993</v>
      </c>
      <c r="L14" s="72">
        <f t="shared" si="4"/>
        <v>946.34512000000007</v>
      </c>
      <c r="M14" s="72">
        <f t="shared" si="4"/>
        <v>1102.2137279999999</v>
      </c>
      <c r="N14" s="72">
        <f t="shared" si="4"/>
        <v>1190.39082624</v>
      </c>
      <c r="O14" s="72">
        <f>O11*O13</f>
        <v>1261.8142758143999</v>
      </c>
      <c r="P14" s="72">
        <f t="shared" si="4"/>
        <v>1312.286846846976</v>
      </c>
      <c r="Q14" s="72">
        <f t="shared" si="4"/>
        <v>1338.5325837839155</v>
      </c>
    </row>
    <row r="15" spans="1:28" x14ac:dyDescent="0.35">
      <c r="A15" s="100">
        <v>0.2</v>
      </c>
      <c r="B15" s="4" t="s">
        <v>39</v>
      </c>
      <c r="C15" s="82">
        <v>53.999127000000001</v>
      </c>
      <c r="D15" s="82">
        <v>54.221724000000002</v>
      </c>
      <c r="E15" s="82">
        <v>96.113627999999991</v>
      </c>
      <c r="F15" s="82">
        <v>148.82806399999998</v>
      </c>
      <c r="G15" s="72">
        <v>248.17401000000001</v>
      </c>
      <c r="H15" s="72">
        <v>307.74359200000004</v>
      </c>
      <c r="I15" s="72">
        <v>394.62044399999996</v>
      </c>
      <c r="J15" s="72">
        <v>540.68219999999997</v>
      </c>
      <c r="K15" s="72">
        <f t="shared" ref="K15:Q15" si="5">K14*(1-$A$15)</f>
        <v>636.19839999999999</v>
      </c>
      <c r="L15" s="72">
        <f t="shared" si="5"/>
        <v>757.07609600000012</v>
      </c>
      <c r="M15" s="72">
        <f t="shared" si="5"/>
        <v>881.77098239999998</v>
      </c>
      <c r="N15" s="72">
        <f t="shared" si="5"/>
        <v>952.31266099200002</v>
      </c>
      <c r="O15" s="72">
        <f>O14*(1-$A$15)</f>
        <v>1009.45142065152</v>
      </c>
      <c r="P15" s="72">
        <f t="shared" si="5"/>
        <v>1049.8294774775809</v>
      </c>
      <c r="Q15" s="72">
        <f t="shared" si="5"/>
        <v>1070.8260670271325</v>
      </c>
    </row>
    <row r="16" spans="1:28" ht="31.5" hidden="1" thickBot="1" x14ac:dyDescent="0.4">
      <c r="A16" s="13" t="s">
        <v>6</v>
      </c>
      <c r="B16" s="14"/>
      <c r="C16" s="15">
        <f t="shared" ref="C16:J16" si="6">C15/C14</f>
        <v>0.59304851556842864</v>
      </c>
      <c r="D16" s="15">
        <f t="shared" si="6"/>
        <v>0.57963446475195823</v>
      </c>
      <c r="E16" s="15">
        <f t="shared" si="6"/>
        <v>0.58300550747442959</v>
      </c>
      <c r="F16" s="15">
        <f t="shared" si="6"/>
        <v>0.65671641791044766</v>
      </c>
      <c r="G16" s="15">
        <f t="shared" si="6"/>
        <v>0.97634584013050563</v>
      </c>
      <c r="H16" s="15">
        <f t="shared" si="6"/>
        <v>0.77390753641545273</v>
      </c>
      <c r="I16" s="15">
        <f t="shared" si="6"/>
        <v>0.77798507462686561</v>
      </c>
      <c r="J16" s="15">
        <f t="shared" si="6"/>
        <v>0.78236397748592879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5.7849419580419585</v>
      </c>
      <c r="H17" s="72">
        <f>H15/H18</f>
        <v>7.1735103030303042</v>
      </c>
      <c r="I17" s="72">
        <f t="shared" ref="I17:O17" si="7">I15/I18</f>
        <v>9.1986117482517482</v>
      </c>
      <c r="J17" s="72">
        <f>J15/J18</f>
        <v>12.603314685314684</v>
      </c>
      <c r="K17" s="72">
        <f t="shared" si="7"/>
        <v>14.829799533799534</v>
      </c>
      <c r="L17" s="72">
        <f t="shared" si="7"/>
        <v>17.647461445221449</v>
      </c>
      <c r="M17" s="72">
        <f t="shared" si="7"/>
        <v>20.554102153846156</v>
      </c>
      <c r="N17" s="72">
        <f t="shared" si="7"/>
        <v>22.198430326153847</v>
      </c>
      <c r="O17" s="72">
        <f t="shared" si="7"/>
        <v>23.53033614572308</v>
      </c>
      <c r="P17" s="72">
        <f>P15/P18</f>
        <v>24.471549591552002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42.9</v>
      </c>
      <c r="H18" s="72">
        <f>G18*1</f>
        <v>42.9</v>
      </c>
      <c r="I18" s="72">
        <f t="shared" ref="I18:P18" si="8">H18*1</f>
        <v>42.9</v>
      </c>
      <c r="J18" s="72">
        <f t="shared" si="8"/>
        <v>42.9</v>
      </c>
      <c r="K18" s="72">
        <f t="shared" si="8"/>
        <v>42.9</v>
      </c>
      <c r="L18" s="72">
        <f t="shared" si="8"/>
        <v>42.9</v>
      </c>
      <c r="M18" s="72">
        <f t="shared" si="8"/>
        <v>42.9</v>
      </c>
      <c r="N18" s="72">
        <f t="shared" si="8"/>
        <v>42.9</v>
      </c>
      <c r="O18" s="72">
        <f t="shared" si="8"/>
        <v>42.9</v>
      </c>
      <c r="P18" s="72">
        <f t="shared" si="8"/>
        <v>42.9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225.76666818285193</v>
      </c>
      <c r="H19" s="53">
        <f>H15/(1+$C$55)^2</f>
        <v>254.68072060420792</v>
      </c>
      <c r="I19" s="53">
        <f>I15/(1+$C$55)^3</f>
        <v>297.09145314087266</v>
      </c>
      <c r="J19" s="53">
        <f>J15/(1+$C$55)^4</f>
        <v>370.30210009681116</v>
      </c>
      <c r="K19" s="53">
        <f>K15/(1+$C$55)^5</f>
        <v>396.3786015299699</v>
      </c>
      <c r="L19" s="53">
        <f>L15/(1+$C$55)^6</f>
        <v>429.10214766492078</v>
      </c>
      <c r="M19" s="53">
        <f>M15/(1+$C$55)^7</f>
        <v>454.65344145154745</v>
      </c>
      <c r="N19" s="53">
        <f>N15/(1+$C$55)^8</f>
        <v>446.69157768266655</v>
      </c>
      <c r="O19" s="53">
        <f>O15/(1+$C$55)^9</f>
        <v>430.74193526825246</v>
      </c>
      <c r="P19" s="53">
        <f>P15/(1+$C$55)^10</f>
        <v>407.52477842072557</v>
      </c>
      <c r="Q19" s="54">
        <f>(Q15/(C55-Q12))/(1+C55)^10</f>
        <v>5245.1138673708519</v>
      </c>
    </row>
    <row r="20" spans="1:18" x14ac:dyDescent="0.3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0">
        <f>(I27-I23)*I29</f>
        <v>6.1750000000000013E-2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79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79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79">
        <v>1.9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79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1">
        <f>I23+(I27-I23)*I29</f>
        <v>9.9250000000000005E-2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6" t="s">
        <v>34</v>
      </c>
      <c r="H33" s="22"/>
      <c r="I33" s="77">
        <f>I31</f>
        <v>9.9250000000000005E-2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45094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7889.31</v>
      </c>
      <c r="D49" s="47">
        <f>SUM(G19:Q19)</f>
        <v>8958.0472914136772</v>
      </c>
      <c r="E49" s="46" t="s">
        <v>46</v>
      </c>
    </row>
    <row r="50" spans="1:17" x14ac:dyDescent="0.35">
      <c r="A50" s="45"/>
      <c r="B50" s="46" t="s">
        <v>11</v>
      </c>
      <c r="C50" s="56">
        <v>42.9</v>
      </c>
      <c r="D50" s="56">
        <f>C50</f>
        <v>42.9</v>
      </c>
      <c r="E50" s="46"/>
    </row>
    <row r="51" spans="1:17" x14ac:dyDescent="0.35">
      <c r="A51" s="45"/>
      <c r="B51" s="46" t="s">
        <v>13</v>
      </c>
      <c r="C51" s="87">
        <v>183.9</v>
      </c>
      <c r="D51" s="56">
        <f>D49/(D50)</f>
        <v>208.812291175144</v>
      </c>
      <c r="E51" s="46" t="s">
        <v>46</v>
      </c>
    </row>
    <row r="52" spans="1:17" x14ac:dyDescent="0.35">
      <c r="A52" s="45"/>
      <c r="B52" s="46" t="s">
        <v>2</v>
      </c>
      <c r="C52" s="46"/>
      <c r="D52" s="57">
        <f>IF(C51/D51-1&gt;0,0,C51/D51-1)*-1</f>
        <v>0.11930471637921203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3">
        <v>0.108</v>
      </c>
      <c r="C57" s="50"/>
      <c r="D57" s="74">
        <f>SUM(H57:Q57)*1000</f>
        <v>7527609.479386609</v>
      </c>
      <c r="E57" s="46"/>
      <c r="F57" s="1" t="s">
        <v>23</v>
      </c>
      <c r="H57" s="1">
        <f>G15/(1+$B$57)</f>
        <v>223.98376353790613</v>
      </c>
      <c r="I57" s="1">
        <f>H15/(1+$B$57)^2</f>
        <v>250.67411930300145</v>
      </c>
      <c r="J57" s="1">
        <f>I15/(1+$B$57)^3</f>
        <v>290.10839723170284</v>
      </c>
      <c r="K57" s="1">
        <f>J15/(1+$B$57)^4</f>
        <v>358.74266549700695</v>
      </c>
      <c r="L57" s="1">
        <f>K15/(1+$B$57)^5</f>
        <v>380.97262522948728</v>
      </c>
      <c r="M57" s="1">
        <f>L15/(1+$B$57)^6</f>
        <v>409.16735020134468</v>
      </c>
      <c r="N57" s="1">
        <f>M15/(1+$B$57)^7</f>
        <v>430.10795996955949</v>
      </c>
      <c r="O57" s="1">
        <f>N15/(1+$B$57)^8</f>
        <v>419.2388057465019</v>
      </c>
      <c r="P57" s="1">
        <f>O15/(1+$B$57)^9</f>
        <v>401.07683582246568</v>
      </c>
      <c r="Q57" s="1">
        <f>(Q15/(B57-Q12))/(1+B57)^10</f>
        <v>4363.5369568476326</v>
      </c>
    </row>
    <row r="58" spans="1:17" ht="16" thickBot="1" x14ac:dyDescent="0.4">
      <c r="A58" s="22"/>
      <c r="C58" s="65"/>
      <c r="D58" s="66"/>
    </row>
    <row r="59" spans="1:17" x14ac:dyDescent="0.35">
      <c r="A59" s="59" t="s">
        <v>42</v>
      </c>
      <c r="B59" s="23"/>
      <c r="C59" s="67">
        <v>26</v>
      </c>
      <c r="D59" s="23"/>
      <c r="E59" s="24"/>
    </row>
    <row r="60" spans="1:17" x14ac:dyDescent="0.35">
      <c r="A60" s="25" t="s">
        <v>21</v>
      </c>
      <c r="C60" s="68" t="s">
        <v>40</v>
      </c>
      <c r="E60" s="26"/>
    </row>
    <row r="61" spans="1:17" x14ac:dyDescent="0.35">
      <c r="A61" s="25"/>
      <c r="C61" s="68"/>
      <c r="E61" s="26"/>
    </row>
    <row r="62" spans="1:17" x14ac:dyDescent="0.35">
      <c r="A62" s="25" t="s">
        <v>37</v>
      </c>
      <c r="C62" s="68"/>
      <c r="E62" s="60">
        <f>P17*C59</f>
        <v>636.26028938035199</v>
      </c>
    </row>
    <row r="63" spans="1:17" x14ac:dyDescent="0.35">
      <c r="A63" s="25"/>
      <c r="C63" s="68"/>
      <c r="E63" s="26"/>
    </row>
    <row r="64" spans="1:17" x14ac:dyDescent="0.35">
      <c r="A64" s="25" t="s">
        <v>17</v>
      </c>
      <c r="C64" s="69">
        <v>0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0</v>
      </c>
    </row>
    <row r="67" spans="1:5" x14ac:dyDescent="0.35">
      <c r="A67" s="25"/>
      <c r="E67" s="61"/>
    </row>
    <row r="68" spans="1:5" x14ac:dyDescent="0.35">
      <c r="A68" s="103" t="s">
        <v>48</v>
      </c>
      <c r="E68" s="104">
        <f>(E66*0.25)*-1</f>
        <v>0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43</v>
      </c>
      <c r="E70" s="60">
        <f>SUM(E62:E68)</f>
        <v>636.26028938035199</v>
      </c>
    </row>
    <row r="71" spans="1:5" x14ac:dyDescent="0.35">
      <c r="A71" s="25"/>
      <c r="E71" s="60"/>
    </row>
    <row r="72" spans="1:5" x14ac:dyDescent="0.35">
      <c r="A72" s="25" t="s">
        <v>44</v>
      </c>
      <c r="E72" s="62">
        <f>E70/C51-1</f>
        <v>2.4598166904858725</v>
      </c>
    </row>
    <row r="73" spans="1:5" x14ac:dyDescent="0.35">
      <c r="A73" s="25"/>
      <c r="E73" s="26"/>
    </row>
    <row r="74" spans="1:5" ht="16" thickBot="1" x14ac:dyDescent="0.4">
      <c r="A74" s="63" t="s">
        <v>45</v>
      </c>
      <c r="B74" s="64"/>
      <c r="C74" s="64"/>
      <c r="D74" s="64"/>
      <c r="E74" s="102">
        <f>(E70/C51)^(1/10)-1</f>
        <v>0.1321534881226003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topLeftCell="A55" zoomScaleNormal="100" workbookViewId="0">
      <selection activeCell="P13" sqref="P13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47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35">
      <c r="A11" s="5"/>
      <c r="B11" s="4" t="s">
        <v>4</v>
      </c>
      <c r="C11" s="82">
        <v>659.33</v>
      </c>
      <c r="D11" s="82">
        <v>814.14</v>
      </c>
      <c r="E11" s="82">
        <v>1297.08</v>
      </c>
      <c r="F11" s="82">
        <v>1780.24</v>
      </c>
      <c r="G11" s="72">
        <f t="shared" ref="G11" si="0">F11*(1+G12)</f>
        <v>2038.3748000000001</v>
      </c>
      <c r="H11" s="72">
        <f t="shared" ref="H11" si="1">G11*(1+H12)</f>
        <v>2333.9391460000002</v>
      </c>
      <c r="I11" s="72">
        <f t="shared" ref="I11" si="2">H11*(1+I12)</f>
        <v>2672.36032217</v>
      </c>
      <c r="J11" s="72">
        <f t="shared" ref="J11" si="3">I11*(1+J12)</f>
        <v>3059.8525688846503</v>
      </c>
      <c r="K11" s="72">
        <f t="shared" ref="K11" si="4">J11*(1+K12)</f>
        <v>3503.5311913729247</v>
      </c>
      <c r="L11" s="72">
        <f t="shared" ref="L11" si="5">K11*(1+L12)</f>
        <v>4011.543214121999</v>
      </c>
      <c r="M11" s="72">
        <f t="shared" ref="M11:Q11" si="6">L11*(1+M12)</f>
        <v>4593.2169801696891</v>
      </c>
      <c r="N11" s="72">
        <f t="shared" si="6"/>
        <v>5259.233442294294</v>
      </c>
      <c r="O11" s="72">
        <f t="shared" si="6"/>
        <v>6021.8222914269663</v>
      </c>
      <c r="P11" s="72">
        <f t="shared" si="6"/>
        <v>6563.7862976553934</v>
      </c>
      <c r="Q11" s="72">
        <f t="shared" si="6"/>
        <v>6695.0620236085015</v>
      </c>
    </row>
    <row r="12" spans="1:28" x14ac:dyDescent="0.35">
      <c r="A12" s="5"/>
      <c r="B12" s="4" t="s">
        <v>1</v>
      </c>
      <c r="C12" s="86"/>
      <c r="D12" s="89">
        <f t="shared" ref="D12:F12" si="7">D11/C11-1</f>
        <v>0.2347989625832283</v>
      </c>
      <c r="E12" s="89">
        <f t="shared" si="7"/>
        <v>0.59319036038027861</v>
      </c>
      <c r="F12" s="89">
        <f t="shared" si="7"/>
        <v>0.37249822678632016</v>
      </c>
      <c r="G12" s="85">
        <v>0.14499999999999999</v>
      </c>
      <c r="H12" s="85">
        <f>G12</f>
        <v>0.14499999999999999</v>
      </c>
      <c r="I12" s="85">
        <f t="shared" ref="I12:O12" si="8">H12</f>
        <v>0.14499999999999999</v>
      </c>
      <c r="J12" s="85">
        <f t="shared" si="8"/>
        <v>0.14499999999999999</v>
      </c>
      <c r="K12" s="85">
        <f t="shared" si="8"/>
        <v>0.14499999999999999</v>
      </c>
      <c r="L12" s="85">
        <f t="shared" si="8"/>
        <v>0.14499999999999999</v>
      </c>
      <c r="M12" s="85">
        <f t="shared" si="8"/>
        <v>0.14499999999999999</v>
      </c>
      <c r="N12" s="85">
        <f t="shared" si="8"/>
        <v>0.14499999999999999</v>
      </c>
      <c r="O12" s="85">
        <f t="shared" si="8"/>
        <v>0.14499999999999999</v>
      </c>
      <c r="P12" s="85">
        <v>0.09</v>
      </c>
      <c r="Q12" s="85">
        <v>0.02</v>
      </c>
    </row>
    <row r="13" spans="1:28" ht="16" customHeight="1" x14ac:dyDescent="0.35">
      <c r="A13" s="5"/>
      <c r="B13" s="4" t="s">
        <v>15</v>
      </c>
      <c r="C13" s="88">
        <v>0.1381</v>
      </c>
      <c r="D13" s="88">
        <v>0.1149</v>
      </c>
      <c r="E13" s="88">
        <v>0.12709999999999999</v>
      </c>
      <c r="F13" s="88">
        <v>0.1273</v>
      </c>
      <c r="G13" s="84">
        <v>0.1226</v>
      </c>
      <c r="H13" s="84">
        <v>0.15790000000000001</v>
      </c>
      <c r="I13" s="84">
        <v>0.1608</v>
      </c>
      <c r="J13" s="84">
        <v>0.15989999999999999</v>
      </c>
      <c r="K13" s="84">
        <v>0.16</v>
      </c>
      <c r="L13" s="84">
        <v>0.17</v>
      </c>
      <c r="M13" s="84">
        <v>0.18</v>
      </c>
      <c r="N13" s="84">
        <v>0.18</v>
      </c>
      <c r="O13" s="84">
        <v>0.18</v>
      </c>
      <c r="P13" s="84">
        <v>0.18</v>
      </c>
      <c r="Q13" s="84">
        <v>0.18</v>
      </c>
    </row>
    <row r="14" spans="1:28" ht="17.149999999999999" customHeight="1" x14ac:dyDescent="0.35">
      <c r="A14" s="5"/>
      <c r="B14" s="4" t="s">
        <v>16</v>
      </c>
      <c r="C14" s="82">
        <f>C11*C13</f>
        <v>91.053473000000011</v>
      </c>
      <c r="D14" s="82">
        <f t="shared" ref="D14:Q14" si="9">D11*D13</f>
        <v>93.544685999999999</v>
      </c>
      <c r="E14" s="82">
        <f t="shared" si="9"/>
        <v>164.85886799999997</v>
      </c>
      <c r="F14" s="82">
        <f t="shared" si="9"/>
        <v>226.62455199999999</v>
      </c>
      <c r="G14" s="72">
        <f t="shared" si="9"/>
        <v>249.90475048000002</v>
      </c>
      <c r="H14" s="72">
        <f t="shared" si="9"/>
        <v>368.52899115340006</v>
      </c>
      <c r="I14" s="72">
        <f t="shared" si="9"/>
        <v>429.71553980493599</v>
      </c>
      <c r="J14" s="72">
        <f t="shared" si="9"/>
        <v>489.27042576465556</v>
      </c>
      <c r="K14" s="72">
        <f t="shared" si="9"/>
        <v>560.56499061966792</v>
      </c>
      <c r="L14" s="72">
        <f t="shared" si="9"/>
        <v>681.96234640073988</v>
      </c>
      <c r="M14" s="72">
        <f t="shared" si="9"/>
        <v>826.77905643054396</v>
      </c>
      <c r="N14" s="72">
        <f t="shared" si="9"/>
        <v>946.66201961297293</v>
      </c>
      <c r="O14" s="72">
        <f>O11*O13</f>
        <v>1083.9280124568538</v>
      </c>
      <c r="P14" s="72">
        <f t="shared" si="9"/>
        <v>1181.4815335779708</v>
      </c>
      <c r="Q14" s="72">
        <f t="shared" si="9"/>
        <v>1205.1111642495302</v>
      </c>
    </row>
    <row r="15" spans="1:28" x14ac:dyDescent="0.35">
      <c r="A15" s="100">
        <v>0.2</v>
      </c>
      <c r="B15" s="4" t="s">
        <v>39</v>
      </c>
      <c r="C15" s="82">
        <v>53.999127000000001</v>
      </c>
      <c r="D15" s="82">
        <v>54.221724000000002</v>
      </c>
      <c r="E15" s="82">
        <v>96.113627999999991</v>
      </c>
      <c r="F15" s="82">
        <v>148.82806399999998</v>
      </c>
      <c r="G15" s="72">
        <v>248.17401000000001</v>
      </c>
      <c r="H15" s="72">
        <v>307.74359200000004</v>
      </c>
      <c r="I15" s="72">
        <v>394.62044399999996</v>
      </c>
      <c r="J15" s="72">
        <v>540.68219999999997</v>
      </c>
      <c r="K15" s="72">
        <f t="shared" ref="K15:Q15" si="10">K14*(1-$A$15)</f>
        <v>448.45199249573437</v>
      </c>
      <c r="L15" s="72">
        <f t="shared" si="10"/>
        <v>545.56987712059197</v>
      </c>
      <c r="M15" s="72">
        <f t="shared" si="10"/>
        <v>661.42324514443521</v>
      </c>
      <c r="N15" s="72">
        <f t="shared" si="10"/>
        <v>757.32961569037843</v>
      </c>
      <c r="O15" s="72">
        <f>O14*(1-$A$15)</f>
        <v>867.14240996548313</v>
      </c>
      <c r="P15" s="72">
        <f t="shared" si="10"/>
        <v>945.18522686237668</v>
      </c>
      <c r="Q15" s="72">
        <f t="shared" si="10"/>
        <v>964.08893139962424</v>
      </c>
    </row>
    <row r="16" spans="1:28" ht="31.5" hidden="1" thickBot="1" x14ac:dyDescent="0.4">
      <c r="A16" s="13" t="s">
        <v>6</v>
      </c>
      <c r="B16" s="14"/>
      <c r="C16" s="15">
        <f t="shared" ref="C16:J16" si="11">C15/C14</f>
        <v>0.59304851556842864</v>
      </c>
      <c r="D16" s="15">
        <f t="shared" si="11"/>
        <v>0.57963446475195823</v>
      </c>
      <c r="E16" s="15">
        <f t="shared" si="11"/>
        <v>0.58300550747442959</v>
      </c>
      <c r="F16" s="15">
        <f t="shared" si="11"/>
        <v>0.65671641791044766</v>
      </c>
      <c r="G16" s="15">
        <f t="shared" si="11"/>
        <v>0.99307439943948361</v>
      </c>
      <c r="H16" s="15">
        <f t="shared" si="11"/>
        <v>0.83505938308094163</v>
      </c>
      <c r="I16" s="15">
        <f t="shared" si="11"/>
        <v>0.91832947018656341</v>
      </c>
      <c r="J16" s="15">
        <f t="shared" si="11"/>
        <v>1.1050784423665003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5.7849419580419585</v>
      </c>
      <c r="H17" s="72">
        <f t="shared" ref="H17:O17" si="12">H15/H18</f>
        <v>7.1735103030303042</v>
      </c>
      <c r="I17" s="72">
        <f t="shared" si="12"/>
        <v>9.1986117482517482</v>
      </c>
      <c r="J17" s="72">
        <f t="shared" si="12"/>
        <v>12.603314685314684</v>
      </c>
      <c r="K17" s="72">
        <f t="shared" si="12"/>
        <v>10.453426398501968</v>
      </c>
      <c r="L17" s="72">
        <f t="shared" si="12"/>
        <v>12.717246552927552</v>
      </c>
      <c r="M17" s="72">
        <f t="shared" si="12"/>
        <v>15.417791262108047</v>
      </c>
      <c r="N17" s="72">
        <f t="shared" si="12"/>
        <v>17.653370995113718</v>
      </c>
      <c r="O17" s="72">
        <f t="shared" si="12"/>
        <v>20.213109789405202</v>
      </c>
      <c r="P17" s="72">
        <f>P15/P18</f>
        <v>22.032289670451672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42.9</v>
      </c>
      <c r="H18" s="72">
        <f>G18*1</f>
        <v>42.9</v>
      </c>
      <c r="I18" s="72">
        <f t="shared" ref="I18:P18" si="13">H18*1</f>
        <v>42.9</v>
      </c>
      <c r="J18" s="72">
        <f t="shared" si="13"/>
        <v>42.9</v>
      </c>
      <c r="K18" s="72">
        <f t="shared" si="13"/>
        <v>42.9</v>
      </c>
      <c r="L18" s="72">
        <f t="shared" si="13"/>
        <v>42.9</v>
      </c>
      <c r="M18" s="72">
        <f t="shared" si="13"/>
        <v>42.9</v>
      </c>
      <c r="N18" s="72">
        <f t="shared" si="13"/>
        <v>42.9</v>
      </c>
      <c r="O18" s="72">
        <f t="shared" si="13"/>
        <v>42.9</v>
      </c>
      <c r="P18" s="72">
        <f t="shared" si="13"/>
        <v>42.9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225.76666818285193</v>
      </c>
      <c r="H19" s="53">
        <f>H15/(1+$C$55)^2</f>
        <v>254.68072060420792</v>
      </c>
      <c r="I19" s="53">
        <f>I15/(1+$C$55)^3</f>
        <v>297.09145314087266</v>
      </c>
      <c r="J19" s="53">
        <f>J15/(1+$C$55)^4</f>
        <v>370.30210009681116</v>
      </c>
      <c r="K19" s="53">
        <f>K15/(1+$C$55)^5</f>
        <v>279.40462226687106</v>
      </c>
      <c r="L19" s="53">
        <f>L15/(1+$C$55)^6</f>
        <v>309.22282081104419</v>
      </c>
      <c r="M19" s="53">
        <f>M15/(1+$C$55)^7</f>
        <v>341.03906871881202</v>
      </c>
      <c r="N19" s="53">
        <f>N15/(1+$C$55)^8</f>
        <v>355.23287121495548</v>
      </c>
      <c r="O19" s="53">
        <f>O15/(1+$C$55)^9</f>
        <v>370.01740963486367</v>
      </c>
      <c r="P19" s="53">
        <f>P15/(1+$C$55)^10</f>
        <v>366.90377666772929</v>
      </c>
      <c r="Q19" s="54">
        <f>(Q15/(C55-Q12))/(1+C55)^10</f>
        <v>4722.294664997904</v>
      </c>
    </row>
    <row r="20" spans="1:18" x14ac:dyDescent="0.3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0">
        <f>(I27-I23)*I29</f>
        <v>6.1750000000000013E-2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79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79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79">
        <v>1.9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79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1">
        <f>I23+(I27-I23)*I29</f>
        <v>9.9250000000000005E-2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6" t="s">
        <v>34</v>
      </c>
      <c r="H33" s="22"/>
      <c r="I33" s="77">
        <f>I31</f>
        <v>9.9250000000000005E-2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45094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7889.31</v>
      </c>
      <c r="D49" s="47">
        <f>SUM(G19:Q19)</f>
        <v>7891.9561763369238</v>
      </c>
      <c r="E49" s="46" t="s">
        <v>46</v>
      </c>
    </row>
    <row r="50" spans="1:17" x14ac:dyDescent="0.35">
      <c r="A50" s="45"/>
      <c r="B50" s="46" t="s">
        <v>11</v>
      </c>
      <c r="C50" s="56">
        <v>42.9</v>
      </c>
      <c r="D50" s="56">
        <f>C50</f>
        <v>42.9</v>
      </c>
      <c r="E50" s="46"/>
    </row>
    <row r="51" spans="1:17" x14ac:dyDescent="0.35">
      <c r="A51" s="45"/>
      <c r="B51" s="46" t="s">
        <v>13</v>
      </c>
      <c r="C51" s="87">
        <v>183.9</v>
      </c>
      <c r="D51" s="87">
        <f>D49/(D50)</f>
        <v>183.96168243209613</v>
      </c>
      <c r="E51" s="46" t="s">
        <v>46</v>
      </c>
    </row>
    <row r="52" spans="1:17" x14ac:dyDescent="0.35">
      <c r="A52" s="45"/>
      <c r="B52" s="46" t="s">
        <v>2</v>
      </c>
      <c r="C52" s="46"/>
      <c r="D52" s="57">
        <f>IF(C51/D51-1&gt;0,0,C51/D51-1)*-1</f>
        <v>3.3530043474616633E-4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3">
        <v>0.108</v>
      </c>
      <c r="C57" s="50"/>
      <c r="D57" s="74">
        <f>SUM(H57:Q57)*1000</f>
        <v>6616064.9615292493</v>
      </c>
      <c r="E57" s="46"/>
      <c r="F57" s="1" t="s">
        <v>23</v>
      </c>
      <c r="H57" s="1">
        <f>G15/(1+$B$57)</f>
        <v>223.98376353790613</v>
      </c>
      <c r="I57" s="1">
        <f>H15/(1+$B$57)^2</f>
        <v>250.67411930300145</v>
      </c>
      <c r="J57" s="1">
        <f>I15/(1+$B$57)^3</f>
        <v>290.10839723170284</v>
      </c>
      <c r="K57" s="1">
        <f>J15/(1+$B$57)^4</f>
        <v>358.74266549700695</v>
      </c>
      <c r="L57" s="1">
        <f>K15/(1+$B$57)^5</f>
        <v>268.54505272332381</v>
      </c>
      <c r="M57" s="1">
        <f>L15/(1+$B$57)^6</f>
        <v>294.85725695281468</v>
      </c>
      <c r="N57" s="1">
        <f>M15/(1+$B$57)^7</f>
        <v>322.62731290069598</v>
      </c>
      <c r="O57" s="1">
        <f>N15/(1+$B$57)^8</f>
        <v>333.4009686564051</v>
      </c>
      <c r="P57" s="1">
        <f>O15/(1+$B$57)^9</f>
        <v>344.53439450503942</v>
      </c>
      <c r="Q57" s="1">
        <f>(Q15/(B57-Q12))/(1+B57)^10</f>
        <v>3928.5910302213533</v>
      </c>
    </row>
    <row r="58" spans="1:17" ht="16" thickBot="1" x14ac:dyDescent="0.4">
      <c r="A58" s="22"/>
      <c r="C58" s="65"/>
      <c r="D58" s="66"/>
    </row>
    <row r="59" spans="1:17" x14ac:dyDescent="0.35">
      <c r="A59" s="59" t="s">
        <v>42</v>
      </c>
      <c r="B59" s="23"/>
      <c r="C59" s="67">
        <v>22</v>
      </c>
      <c r="D59" s="23"/>
      <c r="E59" s="24"/>
    </row>
    <row r="60" spans="1:17" x14ac:dyDescent="0.35">
      <c r="A60" s="25" t="s">
        <v>21</v>
      </c>
      <c r="C60" s="68" t="s">
        <v>40</v>
      </c>
      <c r="E60" s="26"/>
    </row>
    <row r="61" spans="1:17" x14ac:dyDescent="0.35">
      <c r="A61" s="25"/>
      <c r="C61" s="68"/>
      <c r="E61" s="26"/>
    </row>
    <row r="62" spans="1:17" x14ac:dyDescent="0.35">
      <c r="A62" s="25" t="s">
        <v>37</v>
      </c>
      <c r="C62" s="68"/>
      <c r="E62" s="60">
        <f>P17*C59</f>
        <v>484.71037274993677</v>
      </c>
    </row>
    <row r="63" spans="1:17" x14ac:dyDescent="0.35">
      <c r="A63" s="25"/>
      <c r="C63" s="68"/>
      <c r="E63" s="26"/>
    </row>
    <row r="64" spans="1:17" x14ac:dyDescent="0.35">
      <c r="A64" s="25" t="s">
        <v>17</v>
      </c>
      <c r="C64" s="69">
        <v>0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0</v>
      </c>
    </row>
    <row r="67" spans="1:5" x14ac:dyDescent="0.35">
      <c r="A67" s="25"/>
      <c r="E67" s="61"/>
    </row>
    <row r="68" spans="1:5" x14ac:dyDescent="0.35">
      <c r="A68" s="103" t="s">
        <v>48</v>
      </c>
      <c r="E68" s="104">
        <f>(E66*0.25)*-1</f>
        <v>0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43</v>
      </c>
      <c r="E70" s="60">
        <f>SUM(E62:E68)</f>
        <v>484.71037274993677</v>
      </c>
    </row>
    <row r="71" spans="1:5" x14ac:dyDescent="0.35">
      <c r="A71" s="25"/>
      <c r="E71" s="60"/>
    </row>
    <row r="72" spans="1:5" x14ac:dyDescent="0.35">
      <c r="A72" s="25" t="s">
        <v>44</v>
      </c>
      <c r="E72" s="62">
        <f>E70/C51-1</f>
        <v>1.6357279649262466</v>
      </c>
    </row>
    <row r="73" spans="1:5" x14ac:dyDescent="0.35">
      <c r="A73" s="25"/>
      <c r="E73" s="26"/>
    </row>
    <row r="74" spans="1:5" ht="16" thickBot="1" x14ac:dyDescent="0.4">
      <c r="A74" s="63" t="s">
        <v>45</v>
      </c>
      <c r="B74" s="64"/>
      <c r="C74" s="64"/>
      <c r="D74" s="64"/>
      <c r="E74" s="102">
        <f>(E70/C51)^(1/10)-1</f>
        <v>0.1017677563827164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2023-06-17T06:29:29Z</dcterms:modified>
</cp:coreProperties>
</file>