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6A9B6C71-0B98-49CC-AD3D-2A1A6FCF1148}" xr6:coauthVersionLast="44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Pessimistisch" sheetId="34" r:id="rId1"/>
    <sheet name="Optimistisch" sheetId="32" r:id="rId2"/>
    <sheet name="Wachstum für faire Bewertung" sheetId="3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32" l="1"/>
  <c r="J11" i="32" s="1"/>
  <c r="G11" i="35" l="1"/>
  <c r="K11" i="32" l="1"/>
  <c r="H12" i="35" l="1"/>
  <c r="H11" i="35" s="1"/>
  <c r="I12" i="35" l="1"/>
  <c r="J12" i="35" s="1"/>
  <c r="K12" i="35" s="1"/>
  <c r="L12" i="35" s="1"/>
  <c r="M12" i="35" s="1"/>
  <c r="N12" i="35" s="1"/>
  <c r="O12" i="35" s="1"/>
  <c r="D50" i="35"/>
  <c r="C49" i="35"/>
  <c r="I31" i="35"/>
  <c r="I33" i="35" s="1"/>
  <c r="D46" i="35" s="1"/>
  <c r="C55" i="35" s="1"/>
  <c r="I25" i="35"/>
  <c r="G18" i="35"/>
  <c r="H18" i="35" s="1"/>
  <c r="I18" i="35" s="1"/>
  <c r="J18" i="35" s="1"/>
  <c r="K18" i="35" s="1"/>
  <c r="L18" i="35" s="1"/>
  <c r="M18" i="35" s="1"/>
  <c r="N18" i="35" s="1"/>
  <c r="O18" i="35" s="1"/>
  <c r="P18" i="35" s="1"/>
  <c r="F14" i="35"/>
  <c r="F16" i="35" s="1"/>
  <c r="E14" i="35"/>
  <c r="E16" i="35" s="1"/>
  <c r="D14" i="35"/>
  <c r="D16" i="35" s="1"/>
  <c r="C14" i="35"/>
  <c r="C16" i="35" s="1"/>
  <c r="F12" i="35"/>
  <c r="E12" i="35"/>
  <c r="D12" i="35"/>
  <c r="I11" i="35" l="1"/>
  <c r="J11" i="35" s="1"/>
  <c r="K11" i="35" s="1"/>
  <c r="L11" i="35" s="1"/>
  <c r="D14" i="34" l="1"/>
  <c r="E14" i="34"/>
  <c r="F14" i="34"/>
  <c r="G14" i="34"/>
  <c r="H14" i="34"/>
  <c r="C14" i="34"/>
  <c r="D50" i="34" l="1"/>
  <c r="D50" i="32"/>
  <c r="G18" i="34"/>
  <c r="H18" i="34" s="1"/>
  <c r="I18" i="34" s="1"/>
  <c r="J18" i="34" s="1"/>
  <c r="K18" i="34" s="1"/>
  <c r="L18" i="34" s="1"/>
  <c r="M18" i="34" s="1"/>
  <c r="N18" i="34" s="1"/>
  <c r="O18" i="34" s="1"/>
  <c r="P18" i="34" s="1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G14" i="32" l="1"/>
  <c r="H14" i="32"/>
  <c r="I14" i="32"/>
  <c r="I15" i="32" s="1"/>
  <c r="D14" i="32"/>
  <c r="E14" i="32"/>
  <c r="F14" i="32"/>
  <c r="C14" i="32"/>
  <c r="I25" i="32" l="1"/>
  <c r="H12" i="34" l="1"/>
  <c r="G12" i="34"/>
  <c r="E12" i="34"/>
  <c r="F12" i="34"/>
  <c r="D12" i="34"/>
  <c r="D12" i="32" l="1"/>
  <c r="E12" i="32"/>
  <c r="F12" i="32"/>
  <c r="G12" i="32"/>
  <c r="H12" i="32"/>
  <c r="C16" i="34" l="1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G19" i="32" l="1"/>
  <c r="H19" i="34"/>
  <c r="G19" i="34"/>
  <c r="H57" i="34"/>
  <c r="I57" i="34"/>
  <c r="H16" i="32"/>
  <c r="H19" i="32"/>
  <c r="H57" i="32"/>
  <c r="G16" i="32"/>
  <c r="F16" i="32" l="1"/>
  <c r="E16" i="32"/>
  <c r="D16" i="32"/>
  <c r="J57" i="32" l="1"/>
  <c r="I16" i="32"/>
  <c r="I19" i="32"/>
  <c r="H17" i="32" l="1"/>
  <c r="G17" i="32"/>
  <c r="I17" i="32" l="1"/>
  <c r="H14" i="35" l="1"/>
  <c r="G14" i="35"/>
  <c r="I14" i="35" l="1"/>
  <c r="I15" i="35" s="1"/>
  <c r="I57" i="35" l="1"/>
  <c r="H19" i="35"/>
  <c r="H17" i="35"/>
  <c r="H16" i="35"/>
  <c r="H57" i="35"/>
  <c r="G19" i="35"/>
  <c r="G17" i="35"/>
  <c r="G16" i="35"/>
  <c r="J14" i="35"/>
  <c r="J15" i="35" s="1"/>
  <c r="J57" i="35" l="1"/>
  <c r="I19" i="35"/>
  <c r="I17" i="35"/>
  <c r="I16" i="35"/>
  <c r="J16" i="35"/>
  <c r="K14" i="35"/>
  <c r="K15" i="35" s="1"/>
  <c r="K57" i="35" l="1"/>
  <c r="J19" i="35"/>
  <c r="J17" i="35"/>
  <c r="K17" i="35"/>
  <c r="K19" i="35"/>
  <c r="L57" i="35"/>
  <c r="M11" i="35"/>
  <c r="L14" i="35"/>
  <c r="L15" i="35" s="1"/>
  <c r="M57" i="35" l="1"/>
  <c r="L17" i="35"/>
  <c r="L19" i="35"/>
  <c r="M14" i="35"/>
  <c r="M15" i="35" s="1"/>
  <c r="N11" i="35"/>
  <c r="N14" i="35" l="1"/>
  <c r="N15" i="35" s="1"/>
  <c r="O11" i="35"/>
  <c r="M19" i="35"/>
  <c r="N57" i="35"/>
  <c r="M17" i="35"/>
  <c r="P11" i="35" l="1"/>
  <c r="O14" i="35"/>
  <c r="O15" i="35" s="1"/>
  <c r="N17" i="35"/>
  <c r="N19" i="35"/>
  <c r="O57" i="35"/>
  <c r="O17" i="35" l="1"/>
  <c r="O19" i="35"/>
  <c r="P57" i="35"/>
  <c r="Q11" i="35"/>
  <c r="Q14" i="35" s="1"/>
  <c r="Q15" i="35" s="1"/>
  <c r="P14" i="35"/>
  <c r="P15" i="35" s="1"/>
  <c r="D42" i="35" l="1"/>
  <c r="D40" i="35"/>
  <c r="D41" i="35"/>
  <c r="P19" i="35"/>
  <c r="P17" i="35"/>
  <c r="Q19" i="35"/>
  <c r="Q57" i="35"/>
  <c r="D57" i="35" s="1"/>
  <c r="D43" i="35"/>
  <c r="D44" i="35"/>
  <c r="D49" i="35" l="1"/>
  <c r="D51" i="35" s="1"/>
  <c r="D53" i="35" s="1"/>
  <c r="E62" i="35"/>
  <c r="E66" i="35"/>
  <c r="E68" i="35" s="1"/>
  <c r="E70" i="35" l="1"/>
  <c r="E74" i="35" s="1"/>
  <c r="D52" i="35" l="1"/>
  <c r="E72" i="35"/>
  <c r="J14" i="32" l="1"/>
  <c r="J15" i="32" s="1"/>
  <c r="J19" i="32" l="1"/>
  <c r="K57" i="32"/>
  <c r="J16" i="32"/>
  <c r="J17" i="32"/>
  <c r="L11" i="32" l="1"/>
  <c r="K14" i="32"/>
  <c r="K15" i="32" s="1"/>
  <c r="K17" i="32" l="1"/>
  <c r="L57" i="32"/>
  <c r="K19" i="32"/>
  <c r="L14" i="32"/>
  <c r="L15" i="32" s="1"/>
  <c r="M11" i="32"/>
  <c r="M14" i="32" l="1"/>
  <c r="M15" i="32" s="1"/>
  <c r="N11" i="32"/>
  <c r="L19" i="32"/>
  <c r="M57" i="32"/>
  <c r="L17" i="32"/>
  <c r="N14" i="32" l="1"/>
  <c r="N15" i="32" s="1"/>
  <c r="O11" i="32"/>
  <c r="N57" i="32"/>
  <c r="M17" i="32"/>
  <c r="M19" i="32"/>
  <c r="P11" i="32" l="1"/>
  <c r="O14" i="32"/>
  <c r="O15" i="32" s="1"/>
  <c r="O57" i="32"/>
  <c r="N19" i="32"/>
  <c r="N17" i="32"/>
  <c r="O17" i="32" l="1"/>
  <c r="P57" i="32"/>
  <c r="O19" i="32"/>
  <c r="Q11" i="32"/>
  <c r="Q14" i="32" s="1"/>
  <c r="Q15" i="32" s="1"/>
  <c r="P14" i="32"/>
  <c r="P15" i="32" s="1"/>
  <c r="D43" i="32" l="1"/>
  <c r="D44" i="32"/>
  <c r="D42" i="32"/>
  <c r="D40" i="32"/>
  <c r="D41" i="32"/>
  <c r="P19" i="32"/>
  <c r="P17" i="32"/>
  <c r="E62" i="32" s="1"/>
  <c r="Q57" i="32"/>
  <c r="D57" i="32" s="1"/>
  <c r="Q19" i="32"/>
  <c r="D49" i="32" l="1"/>
  <c r="D51" i="32" s="1"/>
  <c r="D52" i="32" s="1"/>
  <c r="E66" i="32"/>
  <c r="E68" i="32" s="1"/>
  <c r="E70" i="32" l="1"/>
  <c r="E74" i="32" s="1"/>
  <c r="D53" i="32"/>
  <c r="E72" i="32" l="1"/>
  <c r="I11" i="34"/>
  <c r="I14" i="34" s="1"/>
  <c r="J11" i="34"/>
  <c r="J14" i="34" s="1"/>
  <c r="K11" i="34" l="1"/>
  <c r="K14" i="34" s="1"/>
  <c r="K15" i="34" s="1"/>
  <c r="J15" i="34"/>
  <c r="I15" i="34"/>
  <c r="K17" i="34"/>
  <c r="L57" i="34"/>
  <c r="K19" i="34"/>
  <c r="L11" i="34"/>
  <c r="J19" i="34" l="1"/>
  <c r="K57" i="34"/>
  <c r="J17" i="34"/>
  <c r="J16" i="34"/>
  <c r="I19" i="34"/>
  <c r="I17" i="34"/>
  <c r="J57" i="34"/>
  <c r="I16" i="34"/>
  <c r="L14" i="34"/>
  <c r="L15" i="34" s="1"/>
  <c r="M11" i="34"/>
  <c r="M14" i="34" l="1"/>
  <c r="M15" i="34" s="1"/>
  <c r="N11" i="34"/>
  <c r="M57" i="34"/>
  <c r="L17" i="34"/>
  <c r="L19" i="34"/>
  <c r="O11" i="34" l="1"/>
  <c r="N14" i="34"/>
  <c r="N15" i="34" s="1"/>
  <c r="M19" i="34"/>
  <c r="M17" i="34"/>
  <c r="N57" i="34"/>
  <c r="O57" i="34" l="1"/>
  <c r="N19" i="34"/>
  <c r="N17" i="34"/>
  <c r="P11" i="34"/>
  <c r="O14" i="34"/>
  <c r="O15" i="34" s="1"/>
  <c r="O19" i="34" l="1"/>
  <c r="P57" i="34"/>
  <c r="O17" i="34"/>
  <c r="Q11" i="34"/>
  <c r="Q14" i="34" s="1"/>
  <c r="Q15" i="34" s="1"/>
  <c r="P14" i="34"/>
  <c r="P15" i="34" s="1"/>
  <c r="P17" i="34" l="1"/>
  <c r="P19" i="34"/>
  <c r="D44" i="34"/>
  <c r="D43" i="34"/>
  <c r="D40" i="34"/>
  <c r="D41" i="34"/>
  <c r="D42" i="34"/>
  <c r="Q57" i="34"/>
  <c r="D57" i="34" s="1"/>
  <c r="Q19" i="34"/>
  <c r="D49" i="34" l="1"/>
  <c r="D51" i="34" s="1"/>
  <c r="E62" i="34"/>
  <c r="E66" i="34"/>
  <c r="E68" i="34" s="1"/>
  <c r="D52" i="34"/>
  <c r="D53" i="34"/>
  <c r="E70" i="34" l="1"/>
  <c r="E72" i="34" s="1"/>
  <c r="E74" i="34"/>
</calcChain>
</file>

<file path=xl/sharedStrings.xml><?xml version="1.0" encoding="utf-8"?>
<sst xmlns="http://schemas.openxmlformats.org/spreadsheetml/2006/main" count="148" uniqueCount="49">
  <si>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</si>
  <si>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</si>
  <si>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</si>
  <si>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</si>
  <si>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</si>
  <si>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</si>
  <si>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</si>
  <si>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</si>
  <si>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</si>
  <si>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</si>
  <si>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</si>
  <si>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</si>
  <si>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</si>
  <si>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</si>
  <si>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</si>
  <si>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</si>
  <si>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</si>
  <si>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</si>
  <si>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</si>
  <si>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</si>
  <si>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</si>
  <si>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</si>
  <si>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</si>
  <si>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</si>
  <si>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</si>
  <si>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</si>
  <si>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</si>
  <si>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</si>
  <si>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</si>
  <si>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</si>
  <si>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</si>
  <si>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</si>
  <si>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</si>
  <si>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</si>
  <si>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</si>
  <si>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</si>
  <si>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</si>
  <si>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</si>
  <si>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</si>
  <si>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</si>
  <si>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 xml:space="preserve"> </t>
  </si>
  <si>
    <t>2033ff.</t>
  </si>
  <si>
    <t>KGV Multiple in 2032</t>
  </si>
  <si>
    <t>Gesamtwert 2032</t>
  </si>
  <si>
    <t>Steigerung Gesamt bis 2032 in Prozent</t>
  </si>
  <si>
    <t>Renditeerwartung bis 2032 pro Jahr</t>
  </si>
  <si>
    <t>EUR</t>
  </si>
  <si>
    <t xml:space="preserve"> Annahmen für Balchem</t>
  </si>
  <si>
    <t>Quellensteuer USA (25 %)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</si>
</sst>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8" fillId="2" borderId="0" xfId="0" applyFont="1" applyFill="1"/>
    <xf numFmtId="0" fontId="0" fillId="3" borderId="0" xfId="0" applyFill="1"/>
    <xf numFmtId="0" fontId="6" fillId="3" borderId="0" xfId="0" applyFont="1" applyFill="1" applyAlignment="1">
      <alignment vertical="center" wrapText="1"/>
    </xf>
    <xf numFmtId="0" fontId="10" fillId="2" borderId="0" xfId="0" applyFont="1" applyFill="1"/>
    <xf numFmtId="9" fontId="10" fillId="2" borderId="0" xfId="1" applyFont="1" applyFill="1"/>
    <xf numFmtId="0" fontId="0" fillId="4" borderId="0" xfId="0" applyFill="1"/>
    <xf numFmtId="0" fontId="6" fillId="4" borderId="0" xfId="0" applyFont="1" applyFill="1"/>
    <xf numFmtId="0" fontId="5" fillId="4" borderId="0" xfId="0" applyFont="1" applyFill="1"/>
    <xf numFmtId="0" fontId="6" fillId="5" borderId="0" xfId="0" applyFont="1" applyFill="1"/>
    <xf numFmtId="165" fontId="4" fillId="7" borderId="0" xfId="1" applyNumberFormat="1" applyFont="1" applyFill="1"/>
    <xf numFmtId="0" fontId="0" fillId="2" borderId="1" xfId="0" applyFill="1" applyBorder="1" applyAlignment="1">
      <alignment wrapText="1"/>
    </xf>
    <xf numFmtId="0" fontId="9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6" fillId="6" borderId="0" xfId="0" applyFont="1" applyFill="1" applyAlignment="1">
      <alignment horizontal="right"/>
    </xf>
    <xf numFmtId="0" fontId="8" fillId="6" borderId="0" xfId="0" applyFont="1" applyFill="1"/>
    <xf numFmtId="0" fontId="11" fillId="6" borderId="0" xfId="0" applyFont="1" applyFill="1"/>
    <xf numFmtId="4" fontId="6" fillId="6" borderId="0" xfId="0" applyNumberFormat="1" applyFont="1" applyFill="1"/>
    <xf numFmtId="0" fontId="6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2" fillId="2" borderId="0" xfId="0" applyFont="1" applyFill="1"/>
    <xf numFmtId="4" fontId="6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4" fillId="2" borderId="0" xfId="1" applyNumberFormat="1" applyFont="1" applyFill="1" applyBorder="1"/>
    <xf numFmtId="3" fontId="6" fillId="2" borderId="0" xfId="0" applyNumberFormat="1" applyFont="1" applyFill="1"/>
    <xf numFmtId="165" fontId="6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6" fillId="2" borderId="0" xfId="0" applyNumberFormat="1" applyFont="1" applyFill="1"/>
    <xf numFmtId="10" fontId="6" fillId="2" borderId="10" xfId="0" applyNumberFormat="1" applyFont="1" applyFill="1" applyBorder="1"/>
    <xf numFmtId="0" fontId="6" fillId="8" borderId="0" xfId="0" applyFont="1" applyFill="1" applyAlignment="1">
      <alignment vertical="center" wrapText="1"/>
    </xf>
    <xf numFmtId="0" fontId="0" fillId="8" borderId="0" xfId="0" applyFill="1"/>
    <xf numFmtId="4" fontId="10" fillId="8" borderId="0" xfId="0" applyNumberFormat="1" applyFont="1" applyFill="1"/>
    <xf numFmtId="0" fontId="6" fillId="8" borderId="0" xfId="0" applyFont="1" applyFill="1"/>
    <xf numFmtId="1" fontId="4" fillId="8" borderId="0" xfId="1" applyNumberFormat="1" applyFont="1" applyFill="1"/>
    <xf numFmtId="10" fontId="6" fillId="8" borderId="0" xfId="1" applyNumberFormat="1" applyFont="1" applyFill="1"/>
    <xf numFmtId="0" fontId="0" fillId="2" borderId="1" xfId="0" applyFill="1" applyBorder="1"/>
    <xf numFmtId="0" fontId="10" fillId="2" borderId="2" xfId="0" applyFont="1" applyFill="1" applyBorder="1"/>
    <xf numFmtId="2" fontId="8" fillId="2" borderId="2" xfId="0" applyNumberFormat="1" applyFont="1" applyFill="1" applyBorder="1"/>
    <xf numFmtId="2" fontId="8" fillId="2" borderId="3" xfId="0" applyNumberFormat="1" applyFont="1" applyFill="1" applyBorder="1"/>
    <xf numFmtId="0" fontId="11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6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7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6" fillId="2" borderId="0" xfId="1" applyNumberFormat="1" applyFont="1" applyFill="1"/>
    <xf numFmtId="1" fontId="4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4" fillId="8" borderId="0" xfId="1" applyNumberFormat="1" applyFont="1" applyFill="1"/>
    <xf numFmtId="0" fontId="0" fillId="2" borderId="0" xfId="0" quotePrefix="1" applyFill="1"/>
    <xf numFmtId="0" fontId="6" fillId="2" borderId="7" xfId="0" applyFont="1" applyFill="1" applyBorder="1"/>
    <xf numFmtId="10" fontId="6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10" fillId="5" borderId="0" xfId="0" applyNumberFormat="1" applyFont="1" applyFill="1"/>
    <xf numFmtId="164" fontId="11" fillId="6" borderId="0" xfId="0" applyNumberFormat="1" applyFont="1" applyFill="1"/>
    <xf numFmtId="10" fontId="0" fillId="7" borderId="0" xfId="1" applyNumberFormat="1" applyFont="1" applyFill="1"/>
    <xf numFmtId="165" fontId="10" fillId="7" borderId="0" xfId="1" applyNumberFormat="1" applyFont="1" applyFill="1"/>
    <xf numFmtId="9" fontId="10" fillId="5" borderId="0" xfId="1" applyFont="1" applyFill="1"/>
    <xf numFmtId="2" fontId="0" fillId="8" borderId="0" xfId="0" applyNumberFormat="1" applyFill="1"/>
    <xf numFmtId="10" fontId="10" fillId="5" borderId="0" xfId="1" applyNumberFormat="1" applyFont="1" applyFill="1"/>
    <xf numFmtId="165" fontId="10" fillId="5" borderId="0" xfId="1" applyNumberFormat="1" applyFont="1" applyFill="1"/>
    <xf numFmtId="0" fontId="10" fillId="2" borderId="4" xfId="0" applyFont="1" applyFill="1" applyBorder="1"/>
    <xf numFmtId="0" fontId="10" fillId="2" borderId="5" xfId="0" applyFont="1" applyFill="1" applyBorder="1"/>
    <xf numFmtId="10" fontId="10" fillId="2" borderId="5" xfId="0" applyNumberFormat="1" applyFont="1" applyFill="1" applyBorder="1" applyAlignment="1">
      <alignment horizontal="right"/>
    </xf>
    <xf numFmtId="0" fontId="10" fillId="2" borderId="7" xfId="0" applyFont="1" applyFill="1" applyBorder="1"/>
    <xf numFmtId="0" fontId="10" fillId="2" borderId="0" xfId="0" applyFont="1" applyFill="1" applyAlignment="1">
      <alignment horizontal="right"/>
    </xf>
    <xf numFmtId="10" fontId="10" fillId="2" borderId="0" xfId="1" applyNumberFormat="1" applyFont="1" applyFill="1" applyBorder="1" applyAlignment="1">
      <alignment horizontal="right"/>
    </xf>
    <xf numFmtId="10" fontId="10" fillId="2" borderId="0" xfId="0" applyNumberFormat="1" applyFont="1" applyFill="1" applyAlignment="1">
      <alignment horizontal="right"/>
    </xf>
    <xf numFmtId="0" fontId="11" fillId="2" borderId="7" xfId="0" applyFont="1" applyFill="1" applyBorder="1"/>
    <xf numFmtId="0" fontId="11" fillId="2" borderId="0" xfId="0" applyFont="1" applyFill="1"/>
    <xf numFmtId="10" fontId="11" fillId="2" borderId="0" xfId="0" applyNumberFormat="1" applyFont="1" applyFill="1"/>
    <xf numFmtId="9" fontId="10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  <xf numFmtId="10" fontId="0" fillId="2" borderId="7" xfId="0" applyNumberFormat="1" applyFill="1" applyBorder="1"/>
    <xf numFmtId="4" fontId="13" fillId="2" borderId="8" xfId="0" quotePrefix="1" applyNumberFormat="1" applyFont="1" applyFill="1" applyBorder="1"/>
  </cellXfs>
  <cellStyles count="11">
    <cellStyle name="Prozent" xfId="1" builtinId="5"/>
    <cellStyle name="Prozent 2" xfId="2" xr:uid="{00000000-0005-0000-0000-000001000000}"/>
    <cellStyle name="Prozent 3" xfId="4" xr:uid="{00000000-0005-0000-0000-000002000000}"/>
    <cellStyle name="Prozent 3 2" xfId="8" xr:uid="{ACDD9188-69D6-4028-9709-96C6465716DF}"/>
    <cellStyle name="Prozent 4" xfId="6" xr:uid="{DE5E001C-AEE3-45AD-B913-D01465EAAE5D}"/>
    <cellStyle name="Prozent 4 2" xfId="10" xr:uid="{51C2CB77-11E2-4A8F-AF10-1CB4B8601286}"/>
    <cellStyle name="Standard" xfId="0" builtinId="0"/>
    <cellStyle name="Standard 2" xfId="3" xr:uid="{00000000-0005-0000-0000-000004000000}"/>
    <cellStyle name="Standard 2 2" xfId="7" xr:uid="{715999C6-8BDD-464F-A53F-2D0C0610C1C9}"/>
    <cellStyle name="Standard 3" xfId="5" xr:uid="{D21CDE20-7D2B-4947-8C50-96BDB9D63654}"/>
    <cellStyle name="Standard 3 2" xfId="9" xr:uid="{5011BA1F-B6E3-4681-B716-D0C9CC684563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7A5F"/>
      <color rgb="FFCC99FF"/>
      <color rgb="FFFFCC99"/>
      <color rgb="FFFFCC66"/>
      <color rgb="FFFFEB7D"/>
      <color rgb="FF009900"/>
      <color rgb="FFCCCCFF"/>
      <color rgb="FF9966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15507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D6B0C2-47F7-4639-9157-E9F95B4B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opLeftCell="A45" zoomScaleNormal="100" workbookViewId="0">
      <selection activeCell="C51" sqref="C51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47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2">
        <v>643.71</v>
      </c>
      <c r="D11" s="82">
        <v>703.64</v>
      </c>
      <c r="E11" s="82">
        <v>799.02</v>
      </c>
      <c r="F11" s="82">
        <v>942.36</v>
      </c>
      <c r="G11" s="72">
        <v>991.08</v>
      </c>
      <c r="H11" s="72">
        <v>1054.5</v>
      </c>
      <c r="I11" s="72">
        <f t="shared" ref="I11" si="0">H11*(1+I12)</f>
        <v>1117.77</v>
      </c>
      <c r="J11" s="72">
        <f t="shared" ref="J11" si="1">I11*(1+J12)</f>
        <v>1179.2473499999999</v>
      </c>
      <c r="K11" s="72">
        <f t="shared" ref="K11" si="2">J11*(1+K12)</f>
        <v>1238.2097174999999</v>
      </c>
      <c r="L11" s="72">
        <f t="shared" ref="L11:Q11" si="3">K11*(1+L12)</f>
        <v>1287.7381061999999</v>
      </c>
      <c r="M11" s="72">
        <f t="shared" si="3"/>
        <v>1332.8089399169999</v>
      </c>
      <c r="N11" s="72">
        <f t="shared" si="3"/>
        <v>1372.79320811451</v>
      </c>
      <c r="O11" s="72">
        <f t="shared" si="3"/>
        <v>1400.2490722768002</v>
      </c>
      <c r="P11" s="72">
        <f t="shared" si="3"/>
        <v>1428.2540537223363</v>
      </c>
      <c r="Q11" s="72">
        <f t="shared" si="3"/>
        <v>1449.6778645281711</v>
      </c>
    </row>
    <row r="12" spans="1:28" x14ac:dyDescent="0.25">
      <c r="A12" s="5"/>
      <c r="B12" s="4" t="s">
        <v>1</v>
      </c>
      <c r="C12" s="86"/>
      <c r="D12" s="89">
        <f t="shared" ref="D12:H12" si="4">D11/C11-1</f>
        <v>9.3100930543257077E-2</v>
      </c>
      <c r="E12" s="89">
        <f t="shared" si="4"/>
        <v>0.13555227104769485</v>
      </c>
      <c r="F12" s="89">
        <f t="shared" si="4"/>
        <v>0.17939475857925968</v>
      </c>
      <c r="G12" s="85">
        <f t="shared" si="4"/>
        <v>5.1699987266013103E-2</v>
      </c>
      <c r="H12" s="85">
        <f t="shared" si="4"/>
        <v>6.3990797917423459E-2</v>
      </c>
      <c r="I12" s="85">
        <v>0.06</v>
      </c>
      <c r="J12" s="85">
        <v>5.5E-2</v>
      </c>
      <c r="K12" s="85">
        <v>0.05</v>
      </c>
      <c r="L12" s="71">
        <v>0.04</v>
      </c>
      <c r="M12" s="71">
        <v>3.5000000000000003E-2</v>
      </c>
      <c r="N12" s="71">
        <v>0.03</v>
      </c>
      <c r="O12" s="71">
        <v>0.02</v>
      </c>
      <c r="P12" s="71">
        <v>0.02</v>
      </c>
      <c r="Q12" s="12">
        <v>1.4999999999999999E-2</v>
      </c>
    </row>
    <row r="13" spans="1:28" ht="15.95" customHeight="1" x14ac:dyDescent="0.25">
      <c r="A13" s="5"/>
      <c r="B13" s="4" t="s">
        <v>15</v>
      </c>
      <c r="C13" s="88">
        <v>0.1628</v>
      </c>
      <c r="D13" s="88">
        <v>0.1641</v>
      </c>
      <c r="E13" s="88">
        <v>0.16009999999999999</v>
      </c>
      <c r="F13" s="88">
        <v>0.157</v>
      </c>
      <c r="G13" s="84">
        <v>0.1651</v>
      </c>
      <c r="H13" s="84">
        <v>0.1774</v>
      </c>
      <c r="I13" s="84">
        <v>0.18</v>
      </c>
      <c r="J13" s="84">
        <v>0.18</v>
      </c>
      <c r="K13" s="84">
        <v>0.185</v>
      </c>
      <c r="L13" s="84">
        <v>0.185</v>
      </c>
      <c r="M13" s="84">
        <v>0.185</v>
      </c>
      <c r="N13" s="84">
        <v>0.185</v>
      </c>
      <c r="O13" s="84">
        <v>0.185</v>
      </c>
      <c r="P13" s="84">
        <v>0.185</v>
      </c>
      <c r="Q13" s="84">
        <v>0.185</v>
      </c>
    </row>
    <row r="14" spans="1:28" ht="17.100000000000001" customHeight="1" x14ac:dyDescent="0.25">
      <c r="A14" s="5"/>
      <c r="B14" s="4" t="s">
        <v>16</v>
      </c>
      <c r="C14" s="82">
        <f>C11*C13</f>
        <v>104.79598800000001</v>
      </c>
      <c r="D14" s="82">
        <f t="shared" ref="D14:I14" si="5">D11*D13</f>
        <v>115.46732399999999</v>
      </c>
      <c r="E14" s="82">
        <f t="shared" si="5"/>
        <v>127.92310199999999</v>
      </c>
      <c r="F14" s="82">
        <f t="shared" si="5"/>
        <v>147.95052000000001</v>
      </c>
      <c r="G14" s="72">
        <f t="shared" si="5"/>
        <v>163.627308</v>
      </c>
      <c r="H14" s="72">
        <f t="shared" si="5"/>
        <v>187.06829999999999</v>
      </c>
      <c r="I14" s="72">
        <f t="shared" si="5"/>
        <v>201.1986</v>
      </c>
      <c r="J14" s="72">
        <f>J11*J13</f>
        <v>212.26452299999997</v>
      </c>
      <c r="K14" s="72">
        <f t="shared" ref="K14:Q14" si="6">K11*K13</f>
        <v>229.06879773749998</v>
      </c>
      <c r="L14" s="72">
        <f t="shared" si="6"/>
        <v>238.23154964699998</v>
      </c>
      <c r="M14" s="72">
        <f t="shared" si="6"/>
        <v>246.56965388464496</v>
      </c>
      <c r="N14" s="72">
        <f t="shared" si="6"/>
        <v>253.96674350118434</v>
      </c>
      <c r="O14" s="72">
        <f t="shared" si="6"/>
        <v>259.04607837120807</v>
      </c>
      <c r="P14" s="72">
        <f>P11*P13</f>
        <v>264.22699993863222</v>
      </c>
      <c r="Q14" s="72">
        <f t="shared" si="6"/>
        <v>268.19040493771166</v>
      </c>
    </row>
    <row r="15" spans="1:28" x14ac:dyDescent="0.25">
      <c r="A15" s="100">
        <v>0.3</v>
      </c>
      <c r="B15" s="4" t="s">
        <v>39</v>
      </c>
      <c r="C15" s="82">
        <v>79.691298000000003</v>
      </c>
      <c r="D15" s="82">
        <v>84.647891999999999</v>
      </c>
      <c r="E15" s="82">
        <v>96.122106000000002</v>
      </c>
      <c r="F15" s="82">
        <v>105.35584799999999</v>
      </c>
      <c r="G15" s="72">
        <v>108.919692</v>
      </c>
      <c r="H15" s="72">
        <v>130.33619999999999</v>
      </c>
      <c r="I15" s="72">
        <f t="shared" ref="I15:K15" si="7">I14*(1-$A$15)</f>
        <v>140.83901999999998</v>
      </c>
      <c r="J15" s="72">
        <f t="shared" si="7"/>
        <v>148.58516609999998</v>
      </c>
      <c r="K15" s="72">
        <f t="shared" si="7"/>
        <v>160.34815841624999</v>
      </c>
      <c r="L15" s="72">
        <f t="shared" ref="L15:Q15" si="8">L14*(1-$A$15)</f>
        <v>166.76208475289997</v>
      </c>
      <c r="M15" s="72">
        <f t="shared" si="8"/>
        <v>172.59875771925147</v>
      </c>
      <c r="N15" s="72">
        <f t="shared" si="8"/>
        <v>177.77672045082903</v>
      </c>
      <c r="O15" s="72">
        <f t="shared" si="8"/>
        <v>181.33225485984565</v>
      </c>
      <c r="P15" s="72">
        <f>P14*(1-$A$15)</f>
        <v>184.95889995704255</v>
      </c>
      <c r="Q15" s="72">
        <f t="shared" si="8"/>
        <v>187.73328345639814</v>
      </c>
    </row>
    <row r="16" spans="1:28" ht="32.25" hidden="1" thickBot="1" x14ac:dyDescent="0.3">
      <c r="A16" s="13" t="s">
        <v>6</v>
      </c>
      <c r="B16" s="14"/>
      <c r="C16" s="15">
        <f t="shared" ref="C16:J16" si="9">C15/C14</f>
        <v>0.76044226044226038</v>
      </c>
      <c r="D16" s="15">
        <f t="shared" si="9"/>
        <v>0.73308957952468012</v>
      </c>
      <c r="E16" s="15">
        <f t="shared" si="9"/>
        <v>0.75140537164272336</v>
      </c>
      <c r="F16" s="15">
        <f t="shared" si="9"/>
        <v>0.71210191082802543</v>
      </c>
      <c r="G16" s="15">
        <f t="shared" si="9"/>
        <v>0.66565717746820108</v>
      </c>
      <c r="H16" s="15">
        <f t="shared" si="9"/>
        <v>0.69673055242390081</v>
      </c>
      <c r="I16" s="15">
        <f t="shared" si="9"/>
        <v>0.69999999999999984</v>
      </c>
      <c r="J16" s="15">
        <f t="shared" si="9"/>
        <v>0.70000000000000007</v>
      </c>
    </row>
    <row r="17" spans="1:18" x14ac:dyDescent="0.25">
      <c r="A17" s="2" t="s">
        <v>36</v>
      </c>
      <c r="C17" s="82"/>
      <c r="D17" s="82"/>
      <c r="E17" s="82"/>
      <c r="F17" s="82"/>
      <c r="G17" s="72">
        <f>G15/G18</f>
        <v>3.3617188888888889</v>
      </c>
      <c r="H17" s="72">
        <f t="shared" ref="H17:P17" si="10">H15/H18</f>
        <v>4.0227222222222219</v>
      </c>
      <c r="I17" s="72">
        <f t="shared" si="10"/>
        <v>4.3468833333333325</v>
      </c>
      <c r="J17" s="72">
        <f t="shared" si="10"/>
        <v>4.5859619166666663</v>
      </c>
      <c r="K17" s="72">
        <f t="shared" si="10"/>
        <v>4.9490172350694444</v>
      </c>
      <c r="L17" s="72">
        <f t="shared" si="10"/>
        <v>5.1469779244722211</v>
      </c>
      <c r="M17" s="72">
        <f t="shared" si="10"/>
        <v>5.3271221518287488</v>
      </c>
      <c r="N17" s="72">
        <f t="shared" si="10"/>
        <v>5.4869358163836122</v>
      </c>
      <c r="O17" s="72">
        <f t="shared" si="10"/>
        <v>5.5966745327112859</v>
      </c>
      <c r="P17" s="72">
        <f t="shared" si="10"/>
        <v>5.7086080233655112</v>
      </c>
      <c r="Q17" s="72"/>
    </row>
    <row r="18" spans="1:18" ht="32.25" thickBot="1" x14ac:dyDescent="0.3">
      <c r="A18" s="2" t="s">
        <v>38</v>
      </c>
      <c r="C18" s="82"/>
      <c r="D18" s="82"/>
      <c r="E18" s="82"/>
      <c r="F18" s="82"/>
      <c r="G18" s="72">
        <f>C50</f>
        <v>32.4</v>
      </c>
      <c r="H18" s="72">
        <f>G18*1</f>
        <v>32.4</v>
      </c>
      <c r="I18" s="72">
        <f t="shared" ref="I18:P18" si="11">H18*1</f>
        <v>32.4</v>
      </c>
      <c r="J18" s="72">
        <f t="shared" si="11"/>
        <v>32.4</v>
      </c>
      <c r="K18" s="72">
        <f t="shared" si="11"/>
        <v>32.4</v>
      </c>
      <c r="L18" s="72">
        <f t="shared" si="11"/>
        <v>32.4</v>
      </c>
      <c r="M18" s="72">
        <f t="shared" si="11"/>
        <v>32.4</v>
      </c>
      <c r="N18" s="72">
        <f t="shared" si="11"/>
        <v>32.4</v>
      </c>
      <c r="O18" s="72">
        <f t="shared" si="11"/>
        <v>32.4</v>
      </c>
      <c r="P18" s="72">
        <f t="shared" si="11"/>
        <v>32.4</v>
      </c>
      <c r="Q18" s="72"/>
    </row>
    <row r="19" spans="1:18" ht="16.5" thickBot="1" x14ac:dyDescent="0.3">
      <c r="A19" s="2"/>
      <c r="E19" s="51" t="s">
        <v>12</v>
      </c>
      <c r="F19" s="52"/>
      <c r="G19" s="53">
        <f>G15/(1+$C$55)</f>
        <v>99.379281021897796</v>
      </c>
      <c r="H19" s="53">
        <f>H15/(1+$C$55)^2</f>
        <v>108.50354973626722</v>
      </c>
      <c r="I19" s="53">
        <f>I15/(1+$C$55)^3</f>
        <v>106.97722597305773</v>
      </c>
      <c r="J19" s="53">
        <f>J15/(1+$C$55)^4</f>
        <v>102.97534069486849</v>
      </c>
      <c r="K19" s="53">
        <f>K15/(1+$C$55)^5</f>
        <v>101.39375471400143</v>
      </c>
      <c r="L19" s="53">
        <f>L15/(1+$C$55)^6</f>
        <v>96.213051918395507</v>
      </c>
      <c r="M19" s="53">
        <f>M15/(1+$C$55)^7</f>
        <v>90.858128408338828</v>
      </c>
      <c r="N19" s="53">
        <f>N15/(1+$C$55)^8</f>
        <v>85.386744763311114</v>
      </c>
      <c r="O19" s="53">
        <f>O15/(1+$C$55)^9</f>
        <v>79.465766111840637</v>
      </c>
      <c r="P19" s="53">
        <f>P15/(1+$C$55)^10</f>
        <v>73.955366271968458</v>
      </c>
      <c r="Q19" s="54">
        <f>(Q15/(C55-Q12))/(1+C55)^10</f>
        <v>926.72465143269085</v>
      </c>
    </row>
    <row r="20" spans="1:18" x14ac:dyDescent="0.25">
      <c r="A20" s="2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6"/>
      <c r="P20" s="3"/>
      <c r="Q20" s="3"/>
      <c r="R20" s="3"/>
    </row>
    <row r="21" spans="1:18" x14ac:dyDescent="0.2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90" t="s">
        <v>25</v>
      </c>
      <c r="H23" s="91"/>
      <c r="I23" s="92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93"/>
      <c r="H24" s="6"/>
      <c r="I24" s="94"/>
      <c r="J24" s="26"/>
    </row>
    <row r="25" spans="1:18" x14ac:dyDescent="0.25">
      <c r="A25" s="35"/>
      <c r="B25" s="36"/>
      <c r="C25" s="36"/>
      <c r="D25" s="38"/>
      <c r="F25" s="36"/>
      <c r="G25" s="93" t="s">
        <v>27</v>
      </c>
      <c r="H25" s="6"/>
      <c r="I25" s="95">
        <f>(I27-I23)*I29</f>
        <v>5.8500000000000017E-2</v>
      </c>
      <c r="J25" s="26"/>
    </row>
    <row r="26" spans="1:18" x14ac:dyDescent="0.25">
      <c r="A26" s="35"/>
      <c r="B26" s="36"/>
      <c r="C26" s="36"/>
      <c r="D26" s="38"/>
      <c r="F26" s="36"/>
      <c r="G26" s="93"/>
      <c r="H26" s="6"/>
      <c r="I26" s="94"/>
      <c r="J26" s="26"/>
    </row>
    <row r="27" spans="1:18" x14ac:dyDescent="0.25">
      <c r="A27" s="35"/>
      <c r="B27" s="36"/>
      <c r="C27" s="36"/>
      <c r="D27" s="38"/>
      <c r="F27" s="36"/>
      <c r="G27" s="93" t="s">
        <v>28</v>
      </c>
      <c r="H27" s="6"/>
      <c r="I27" s="96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93"/>
      <c r="H28" s="6"/>
      <c r="I28" s="94"/>
      <c r="J28" s="26"/>
    </row>
    <row r="29" spans="1:18" x14ac:dyDescent="0.25">
      <c r="A29" s="35"/>
      <c r="B29" s="36"/>
      <c r="C29" s="36"/>
      <c r="D29" s="39"/>
      <c r="F29" s="36"/>
      <c r="G29" s="93" t="s">
        <v>35</v>
      </c>
      <c r="H29" s="6"/>
      <c r="I29" s="79">
        <v>1.8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93"/>
      <c r="H30" s="6"/>
      <c r="I30" s="94"/>
      <c r="J30" s="26"/>
    </row>
    <row r="31" spans="1:18" x14ac:dyDescent="0.25">
      <c r="A31" s="35"/>
      <c r="B31" s="36"/>
      <c r="C31" s="36"/>
      <c r="D31" s="37"/>
      <c r="F31" s="36"/>
      <c r="G31" s="93" t="s">
        <v>31</v>
      </c>
      <c r="H31" s="6"/>
      <c r="I31" s="96">
        <f>I23+(I27-I23)*I29</f>
        <v>9.6000000000000016E-2</v>
      </c>
      <c r="J31" s="26" t="s">
        <v>32</v>
      </c>
    </row>
    <row r="32" spans="1:18" x14ac:dyDescent="0.25">
      <c r="A32" s="25"/>
      <c r="C32" s="41"/>
      <c r="E32" s="36"/>
      <c r="F32" s="36"/>
      <c r="G32" s="93"/>
      <c r="H32" s="6"/>
      <c r="I32" s="6"/>
      <c r="J32" s="26"/>
    </row>
    <row r="33" spans="1:10" x14ac:dyDescent="0.25">
      <c r="A33" s="25"/>
      <c r="G33" s="97" t="s">
        <v>34</v>
      </c>
      <c r="H33" s="98"/>
      <c r="I33" s="99">
        <f>I31</f>
        <v>9.6000000000000016E-2</v>
      </c>
      <c r="J33" s="26"/>
    </row>
    <row r="34" spans="1:10" x14ac:dyDescent="0.25">
      <c r="A34" s="35" t="s">
        <v>7</v>
      </c>
      <c r="B34" s="36"/>
      <c r="C34" s="42"/>
      <c r="D34" s="27"/>
      <c r="G34" s="93"/>
      <c r="H34" s="6"/>
      <c r="I34" s="6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9.6000000000000016E-2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3">
        <v>45122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4236.6239999999998</v>
      </c>
      <c r="D49" s="47">
        <f>SUM(G19:Q19)</f>
        <v>1871.8328610466383</v>
      </c>
      <c r="E49" s="46" t="s">
        <v>46</v>
      </c>
    </row>
    <row r="50" spans="1:17" x14ac:dyDescent="0.25">
      <c r="A50" s="45"/>
      <c r="B50" s="46" t="s">
        <v>11</v>
      </c>
      <c r="C50" s="56">
        <v>32.4</v>
      </c>
      <c r="D50" s="56">
        <f>C50</f>
        <v>32.4</v>
      </c>
      <c r="E50" s="46"/>
    </row>
    <row r="51" spans="1:17" x14ac:dyDescent="0.25">
      <c r="A51" s="45"/>
      <c r="B51" s="46" t="s">
        <v>13</v>
      </c>
      <c r="C51" s="87">
        <v>130.76</v>
      </c>
      <c r="D51" s="56">
        <f>D49/(D50)</f>
        <v>57.772619168106125</v>
      </c>
      <c r="E51" s="46" t="s">
        <v>46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1.2633559267845551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9.6000000000000016E-2</v>
      </c>
      <c r="D55" s="49"/>
      <c r="E55" s="46"/>
      <c r="J55" s="70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3">
        <v>0.108</v>
      </c>
      <c r="C57" s="50"/>
      <c r="D57" s="74">
        <f>SUM(H57:Q57)*1000</f>
        <v>1551113.0508853022</v>
      </c>
      <c r="E57" s="46"/>
      <c r="F57" s="1" t="s">
        <v>23</v>
      </c>
      <c r="H57" s="1">
        <f>G15/(1+$B$57)</f>
        <v>98.302971119133559</v>
      </c>
      <c r="I57" s="1">
        <f>H15/(1+$B$57)^2</f>
        <v>106.16601936686256</v>
      </c>
      <c r="J57" s="1">
        <f>I15/(1+$B$57)^3</f>
        <v>103.53893971059375</v>
      </c>
      <c r="K57" s="1">
        <f>J15/(1+$B$57)^4</f>
        <v>98.586264796639341</v>
      </c>
      <c r="L57" s="1">
        <f>K15/(1+$B$57)^5</f>
        <v>96.020767833670234</v>
      </c>
      <c r="M57" s="1">
        <f>L15/(1+$B$57)^6</f>
        <v>90.127796522578535</v>
      </c>
      <c r="N57" s="1">
        <f>M15/(1+$B$57)^7</f>
        <v>84.189773827498897</v>
      </c>
      <c r="O57" s="1">
        <f>N15/(1+$B$57)^8</f>
        <v>78.263056897404184</v>
      </c>
      <c r="P57" s="1">
        <f>O15/(1+$B$57)^9</f>
        <v>72.047218443458732</v>
      </c>
      <c r="Q57" s="1">
        <f>(Q15/(B57-Q12))/(1+B57)^10</f>
        <v>723.87024236746242</v>
      </c>
    </row>
    <row r="58" spans="1:17" ht="16.5" thickBot="1" x14ac:dyDescent="0.3">
      <c r="A58" s="22"/>
      <c r="C58" s="65"/>
      <c r="D58" s="66"/>
    </row>
    <row r="59" spans="1:17" x14ac:dyDescent="0.25">
      <c r="A59" s="59" t="s">
        <v>42</v>
      </c>
      <c r="B59" s="23"/>
      <c r="C59" s="67">
        <v>23</v>
      </c>
      <c r="D59" s="23"/>
      <c r="E59" s="24"/>
    </row>
    <row r="60" spans="1:17" x14ac:dyDescent="0.25">
      <c r="A60" s="25" t="s">
        <v>21</v>
      </c>
      <c r="C60" s="68"/>
      <c r="E60" s="26"/>
    </row>
    <row r="61" spans="1:17" x14ac:dyDescent="0.25">
      <c r="A61" s="25"/>
      <c r="C61" s="68"/>
      <c r="E61" s="26"/>
    </row>
    <row r="62" spans="1:17" x14ac:dyDescent="0.25">
      <c r="A62" s="25" t="s">
        <v>37</v>
      </c>
      <c r="C62" s="68"/>
      <c r="E62" s="60">
        <f>P17*C59</f>
        <v>131.29798453740676</v>
      </c>
    </row>
    <row r="63" spans="1:17" x14ac:dyDescent="0.25">
      <c r="A63" s="25"/>
      <c r="C63" s="68"/>
      <c r="E63" s="26"/>
    </row>
    <row r="64" spans="1:17" x14ac:dyDescent="0.25">
      <c r="A64" s="25" t="s">
        <v>17</v>
      </c>
      <c r="C64" s="69">
        <v>0.2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9.7065244089883862</v>
      </c>
    </row>
    <row r="67" spans="1:5" x14ac:dyDescent="0.25">
      <c r="A67" s="25"/>
      <c r="E67" s="61"/>
    </row>
    <row r="68" spans="1:5" x14ac:dyDescent="0.25">
      <c r="A68" s="103" t="s">
        <v>48</v>
      </c>
      <c r="E68" s="104">
        <f>(E66*0.25)*-1</f>
        <v>-2.4266311022470965</v>
      </c>
    </row>
    <row r="69" spans="1:5" x14ac:dyDescent="0.25">
      <c r="A69" s="25"/>
      <c r="C69" s="41"/>
      <c r="D69" s="41"/>
      <c r="E69" s="62"/>
    </row>
    <row r="70" spans="1:5" x14ac:dyDescent="0.25">
      <c r="A70" s="25" t="s">
        <v>43</v>
      </c>
      <c r="E70" s="60">
        <f>SUM(E62:E68)</f>
        <v>138.57787784414808</v>
      </c>
    </row>
    <row r="71" spans="1:5" x14ac:dyDescent="0.25">
      <c r="A71" s="25"/>
      <c r="E71" s="60"/>
    </row>
    <row r="72" spans="1:5" x14ac:dyDescent="0.25">
      <c r="A72" s="25" t="s">
        <v>44</v>
      </c>
      <c r="E72" s="62">
        <f>E70/C51-1</f>
        <v>5.9787992078220276E-2</v>
      </c>
    </row>
    <row r="73" spans="1:5" x14ac:dyDescent="0.25">
      <c r="A73" s="25"/>
      <c r="E73" s="26"/>
    </row>
    <row r="74" spans="1:5" ht="16.5" thickBot="1" x14ac:dyDescent="0.3">
      <c r="A74" s="63" t="s">
        <v>45</v>
      </c>
      <c r="B74" s="64"/>
      <c r="C74" s="64"/>
      <c r="D74" s="64"/>
      <c r="E74" s="102">
        <f>(E70/C51)^(1/10)-1</f>
        <v>5.8237807212344617E-3</v>
      </c>
    </row>
  </sheetData>
  <conditionalFormatting sqref="L6:L8">
    <cfRule type="top10" dxfId="11" priority="6" percent="1" rank="10"/>
  </conditionalFormatting>
  <conditionalFormatting sqref="G6:J8">
    <cfRule type="top10" dxfId="10" priority="5" percent="1" rank="10"/>
  </conditionalFormatting>
  <conditionalFormatting sqref="K9">
    <cfRule type="top10" dxfId="9" priority="4" percent="1" rank="10"/>
  </conditionalFormatting>
  <conditionalFormatting sqref="L2:L5">
    <cfRule type="top10" dxfId="8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opLeftCell="A45" zoomScaleNormal="100" workbookViewId="0">
      <selection activeCell="C51" sqref="C51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47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2">
        <v>643.71</v>
      </c>
      <c r="D11" s="82">
        <v>703.64</v>
      </c>
      <c r="E11" s="82">
        <v>799.02</v>
      </c>
      <c r="F11" s="82">
        <v>942.36</v>
      </c>
      <c r="G11" s="72">
        <v>991.08</v>
      </c>
      <c r="H11" s="72">
        <v>1054.5</v>
      </c>
      <c r="I11" s="72">
        <f t="shared" ref="I11" si="0">H11*(1+I12)</f>
        <v>1212.675</v>
      </c>
      <c r="J11" s="72">
        <f t="shared" ref="J11" si="1">I11*(1+J12)</f>
        <v>1358.1960000000001</v>
      </c>
      <c r="K11" s="72">
        <f t="shared" ref="K11" si="2">J11*(1+K12)</f>
        <v>1507.5975600000004</v>
      </c>
      <c r="L11" s="72">
        <f t="shared" ref="L11:Q11" si="3">K11*(1+L12)</f>
        <v>1658.3573160000005</v>
      </c>
      <c r="M11" s="72">
        <f t="shared" si="3"/>
        <v>1799.3176878600004</v>
      </c>
      <c r="N11" s="72">
        <f t="shared" si="3"/>
        <v>1925.2699260102006</v>
      </c>
      <c r="O11" s="72">
        <f t="shared" si="3"/>
        <v>2021.5334223107106</v>
      </c>
      <c r="P11" s="72">
        <f t="shared" si="3"/>
        <v>2092.2870920915852</v>
      </c>
      <c r="Q11" s="72">
        <f t="shared" si="3"/>
        <v>2134.1328339334168</v>
      </c>
    </row>
    <row r="12" spans="1:28" x14ac:dyDescent="0.25">
      <c r="A12" s="5"/>
      <c r="B12" s="4" t="s">
        <v>1</v>
      </c>
      <c r="C12" s="89"/>
      <c r="D12" s="89">
        <f t="shared" ref="D12:H12" si="4">D11/C11-1</f>
        <v>9.3100930543257077E-2</v>
      </c>
      <c r="E12" s="89">
        <f t="shared" si="4"/>
        <v>0.13555227104769485</v>
      </c>
      <c r="F12" s="89">
        <f t="shared" si="4"/>
        <v>0.17939475857925968</v>
      </c>
      <c r="G12" s="85">
        <f t="shared" si="4"/>
        <v>5.1699987266013103E-2</v>
      </c>
      <c r="H12" s="85">
        <f t="shared" si="4"/>
        <v>6.3990797917423459E-2</v>
      </c>
      <c r="I12" s="85">
        <v>0.15</v>
      </c>
      <c r="J12" s="85">
        <v>0.12</v>
      </c>
      <c r="K12" s="85">
        <v>0.11</v>
      </c>
      <c r="L12" s="71">
        <v>0.1</v>
      </c>
      <c r="M12" s="71">
        <v>8.5000000000000006E-2</v>
      </c>
      <c r="N12" s="71">
        <v>7.0000000000000007E-2</v>
      </c>
      <c r="O12" s="71">
        <v>0.05</v>
      </c>
      <c r="P12" s="71">
        <v>3.5000000000000003E-2</v>
      </c>
      <c r="Q12" s="12">
        <v>0.02</v>
      </c>
    </row>
    <row r="13" spans="1:28" ht="15.95" customHeight="1" x14ac:dyDescent="0.25">
      <c r="A13" s="5"/>
      <c r="B13" s="4" t="s">
        <v>15</v>
      </c>
      <c r="C13" s="88">
        <v>0.1628</v>
      </c>
      <c r="D13" s="88">
        <v>0.1641</v>
      </c>
      <c r="E13" s="88">
        <v>0.16009999999999999</v>
      </c>
      <c r="F13" s="88">
        <v>0.157</v>
      </c>
      <c r="G13" s="84">
        <v>0.1651</v>
      </c>
      <c r="H13" s="84">
        <v>0.1774</v>
      </c>
      <c r="I13" s="84">
        <v>0.185</v>
      </c>
      <c r="J13" s="84">
        <v>0.19</v>
      </c>
      <c r="K13" s="84">
        <v>0.19</v>
      </c>
      <c r="L13" s="84">
        <v>0.19500000000000001</v>
      </c>
      <c r="M13" s="84">
        <v>0.2</v>
      </c>
      <c r="N13" s="84">
        <v>0.21</v>
      </c>
      <c r="O13" s="84">
        <v>0.22</v>
      </c>
      <c r="P13" s="84">
        <v>0.23</v>
      </c>
      <c r="Q13" s="84">
        <v>0.23</v>
      </c>
    </row>
    <row r="14" spans="1:28" ht="17.100000000000001" customHeight="1" x14ac:dyDescent="0.25">
      <c r="A14" s="5"/>
      <c r="B14" s="4" t="s">
        <v>16</v>
      </c>
      <c r="C14" s="82">
        <f>C11*C13</f>
        <v>104.79598800000001</v>
      </c>
      <c r="D14" s="82">
        <f t="shared" ref="D14:J14" si="5">D11*D13</f>
        <v>115.46732399999999</v>
      </c>
      <c r="E14" s="82">
        <f t="shared" si="5"/>
        <v>127.92310199999999</v>
      </c>
      <c r="F14" s="82">
        <f t="shared" si="5"/>
        <v>147.95052000000001</v>
      </c>
      <c r="G14" s="72">
        <f t="shared" si="5"/>
        <v>163.627308</v>
      </c>
      <c r="H14" s="72">
        <f t="shared" si="5"/>
        <v>187.06829999999999</v>
      </c>
      <c r="I14" s="72">
        <f t="shared" si="5"/>
        <v>224.344875</v>
      </c>
      <c r="J14" s="72">
        <f t="shared" si="5"/>
        <v>258.05724000000004</v>
      </c>
      <c r="K14" s="72">
        <f t="shared" ref="K14:Q14" si="6">K11*K13</f>
        <v>286.44353640000008</v>
      </c>
      <c r="L14" s="72">
        <f t="shared" si="6"/>
        <v>323.37967662000011</v>
      </c>
      <c r="M14" s="72">
        <f t="shared" si="6"/>
        <v>359.8635375720001</v>
      </c>
      <c r="N14" s="72">
        <f t="shared" si="6"/>
        <v>404.30668446214213</v>
      </c>
      <c r="O14" s="72">
        <f>O11*O13</f>
        <v>444.73735290835634</v>
      </c>
      <c r="P14" s="72">
        <f t="shared" si="6"/>
        <v>481.22603118106463</v>
      </c>
      <c r="Q14" s="72">
        <f t="shared" si="6"/>
        <v>490.85055180468589</v>
      </c>
    </row>
    <row r="15" spans="1:28" x14ac:dyDescent="0.25">
      <c r="A15" s="100">
        <v>0.25</v>
      </c>
      <c r="B15" s="4" t="s">
        <v>39</v>
      </c>
      <c r="C15" s="82">
        <v>79.691298000000003</v>
      </c>
      <c r="D15" s="82">
        <v>84.647891999999999</v>
      </c>
      <c r="E15" s="82">
        <v>96.122106000000002</v>
      </c>
      <c r="F15" s="82">
        <v>105.35584799999999</v>
      </c>
      <c r="G15" s="72">
        <v>108.919692</v>
      </c>
      <c r="H15" s="72">
        <v>130.33619999999999</v>
      </c>
      <c r="I15" s="72">
        <f t="shared" ref="I15:Q15" si="7">I14*(1-$A$15)</f>
        <v>168.25865625</v>
      </c>
      <c r="J15" s="72">
        <f t="shared" si="7"/>
        <v>193.54293000000001</v>
      </c>
      <c r="K15" s="72">
        <f t="shared" si="7"/>
        <v>214.83265230000006</v>
      </c>
      <c r="L15" s="72">
        <f t="shared" si="7"/>
        <v>242.5347574650001</v>
      </c>
      <c r="M15" s="72">
        <f t="shared" si="7"/>
        <v>269.89765317900009</v>
      </c>
      <c r="N15" s="72">
        <f t="shared" si="7"/>
        <v>303.2300133466066</v>
      </c>
      <c r="O15" s="72">
        <f>O14*(1-$A$15)</f>
        <v>333.55301468126726</v>
      </c>
      <c r="P15" s="72">
        <f t="shared" si="7"/>
        <v>360.91952338579847</v>
      </c>
      <c r="Q15" s="72">
        <f t="shared" si="7"/>
        <v>368.13791385351442</v>
      </c>
    </row>
    <row r="16" spans="1:28" ht="32.25" hidden="1" thickBot="1" x14ac:dyDescent="0.3">
      <c r="A16" s="13" t="s">
        <v>6</v>
      </c>
      <c r="B16" s="14"/>
      <c r="C16" s="15">
        <f t="shared" ref="C16:J16" si="8">C15/C14</f>
        <v>0.76044226044226038</v>
      </c>
      <c r="D16" s="15">
        <f t="shared" si="8"/>
        <v>0.73308957952468012</v>
      </c>
      <c r="E16" s="15">
        <f t="shared" si="8"/>
        <v>0.75140537164272336</v>
      </c>
      <c r="F16" s="15">
        <f t="shared" si="8"/>
        <v>0.71210191082802543</v>
      </c>
      <c r="G16" s="15">
        <f t="shared" si="8"/>
        <v>0.66565717746820108</v>
      </c>
      <c r="H16" s="15">
        <f t="shared" si="8"/>
        <v>0.69673055242390081</v>
      </c>
      <c r="I16" s="15">
        <f t="shared" si="8"/>
        <v>0.75</v>
      </c>
      <c r="J16" s="15">
        <f t="shared" si="8"/>
        <v>0.75</v>
      </c>
    </row>
    <row r="17" spans="1:18" x14ac:dyDescent="0.25">
      <c r="A17" s="2" t="s">
        <v>36</v>
      </c>
      <c r="C17" s="82"/>
      <c r="D17" s="82"/>
      <c r="E17" s="82"/>
      <c r="F17" s="82"/>
      <c r="G17" s="72">
        <f>G15/G18</f>
        <v>3.3617188888888889</v>
      </c>
      <c r="H17" s="72">
        <f>H15/H18</f>
        <v>4.0227222222222219</v>
      </c>
      <c r="I17" s="72">
        <f t="shared" ref="I17:O17" si="9">I15/I18</f>
        <v>5.1931684027777782</v>
      </c>
      <c r="J17" s="72">
        <f>J15/J18</f>
        <v>5.9735472222222228</v>
      </c>
      <c r="K17" s="72">
        <f t="shared" si="9"/>
        <v>6.6306374166666693</v>
      </c>
      <c r="L17" s="72">
        <f t="shared" si="9"/>
        <v>7.4856406625000034</v>
      </c>
      <c r="M17" s="72">
        <f t="shared" si="9"/>
        <v>8.3301744808333371</v>
      </c>
      <c r="N17" s="72">
        <f t="shared" si="9"/>
        <v>9.3589510292162537</v>
      </c>
      <c r="O17" s="72">
        <f t="shared" si="9"/>
        <v>10.294846132137879</v>
      </c>
      <c r="P17" s="72">
        <f>P15/P18</f>
        <v>11.139491462524644</v>
      </c>
      <c r="Q17" s="72"/>
    </row>
    <row r="18" spans="1:18" ht="32.25" thickBot="1" x14ac:dyDescent="0.3">
      <c r="A18" s="2" t="s">
        <v>38</v>
      </c>
      <c r="C18" s="82"/>
      <c r="D18" s="82"/>
      <c r="E18" s="82"/>
      <c r="F18" s="82"/>
      <c r="G18" s="72">
        <f>C50</f>
        <v>32.4</v>
      </c>
      <c r="H18" s="72">
        <f>G18*1</f>
        <v>32.4</v>
      </c>
      <c r="I18" s="72">
        <f t="shared" ref="I18:P18" si="10">H18*1</f>
        <v>32.4</v>
      </c>
      <c r="J18" s="72">
        <f t="shared" si="10"/>
        <v>32.4</v>
      </c>
      <c r="K18" s="72">
        <f t="shared" si="10"/>
        <v>32.4</v>
      </c>
      <c r="L18" s="72">
        <f t="shared" si="10"/>
        <v>32.4</v>
      </c>
      <c r="M18" s="72">
        <f t="shared" si="10"/>
        <v>32.4</v>
      </c>
      <c r="N18" s="72">
        <f t="shared" si="10"/>
        <v>32.4</v>
      </c>
      <c r="O18" s="72">
        <f t="shared" si="10"/>
        <v>32.4</v>
      </c>
      <c r="P18" s="72">
        <f t="shared" si="10"/>
        <v>32.4</v>
      </c>
      <c r="Q18" s="72"/>
    </row>
    <row r="19" spans="1:18" ht="16.5" thickBot="1" x14ac:dyDescent="0.3">
      <c r="A19" s="2"/>
      <c r="E19" s="51" t="s">
        <v>12</v>
      </c>
      <c r="F19" s="52"/>
      <c r="G19" s="53">
        <f>G15/(1+$C$55)</f>
        <v>99.379281021897796</v>
      </c>
      <c r="H19" s="53">
        <f>H15/(1+$C$55)^2</f>
        <v>108.50354973626722</v>
      </c>
      <c r="I19" s="53">
        <f>I15/(1+$C$55)^3</f>
        <v>127.80438469097054</v>
      </c>
      <c r="J19" s="53">
        <f>J15/(1+$C$55)^4</f>
        <v>134.13283222646737</v>
      </c>
      <c r="K19" s="53">
        <f>K15/(1+$C$55)^5</f>
        <v>135.84620782060111</v>
      </c>
      <c r="L19" s="53">
        <f>L15/(1+$C$55)^6</f>
        <v>139.9299441870867</v>
      </c>
      <c r="M19" s="53">
        <f>M15/(1+$C$55)^7</f>
        <v>142.07747467994486</v>
      </c>
      <c r="N19" s="53">
        <f>N15/(1+$C$55)^8</f>
        <v>145.64237482018066</v>
      </c>
      <c r="O19" s="53">
        <f>O15/(1+$C$55)^9</f>
        <v>146.17391633412291</v>
      </c>
      <c r="P19" s="53">
        <f>P15/(1+$C$55)^10</f>
        <v>144.31279356062521</v>
      </c>
      <c r="Q19" s="54">
        <f>(Q15/(C55-Q12))/(1+C55)^10</f>
        <v>1936.8295977873381</v>
      </c>
    </row>
    <row r="20" spans="1:18" x14ac:dyDescent="0.25">
      <c r="A20" s="2"/>
      <c r="C20" s="75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8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79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0">
        <f>(I27-I23)*I29</f>
        <v>5.8500000000000017E-2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79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1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79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79">
        <v>1.8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79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1">
        <f>I23+(I27-I23)*I29</f>
        <v>9.6000000000000016E-2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6" t="s">
        <v>34</v>
      </c>
      <c r="H33" s="22"/>
      <c r="I33" s="77">
        <f>I31</f>
        <v>9.6000000000000016E-2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9.6000000000000016E-2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3">
        <v>45122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4236.6239999999998</v>
      </c>
      <c r="D49" s="47">
        <f>SUM(G19:Q19)</f>
        <v>3260.6323568655025</v>
      </c>
      <c r="E49" s="46" t="s">
        <v>46</v>
      </c>
    </row>
    <row r="50" spans="1:17" x14ac:dyDescent="0.25">
      <c r="A50" s="45"/>
      <c r="B50" s="46" t="s">
        <v>11</v>
      </c>
      <c r="C50" s="56">
        <v>32.4</v>
      </c>
      <c r="D50" s="56">
        <f>C50</f>
        <v>32.4</v>
      </c>
      <c r="E50" s="46"/>
    </row>
    <row r="51" spans="1:17" x14ac:dyDescent="0.25">
      <c r="A51" s="45"/>
      <c r="B51" s="46" t="s">
        <v>13</v>
      </c>
      <c r="C51" s="87">
        <v>130.76</v>
      </c>
      <c r="D51" s="56">
        <f>D49/(D50)</f>
        <v>100.63680113782415</v>
      </c>
      <c r="E51" s="46" t="s">
        <v>46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0.29932587802469501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9.6000000000000016E-2</v>
      </c>
      <c r="D55" s="49"/>
      <c r="E55" s="46"/>
      <c r="J55" s="70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3">
        <v>0.108</v>
      </c>
      <c r="C57" s="50"/>
      <c r="D57" s="74">
        <f>SUM(H57:Q57)*1000</f>
        <v>2614112.8622583081</v>
      </c>
      <c r="E57" s="46"/>
      <c r="F57" s="1" t="s">
        <v>23</v>
      </c>
      <c r="H57" s="1">
        <f>G15/(1+$B$57)</f>
        <v>98.302971119133559</v>
      </c>
      <c r="I57" s="1">
        <f>H15/(1+$B$57)^2</f>
        <v>106.16601936686256</v>
      </c>
      <c r="J57" s="1">
        <f>I15/(1+$B$57)^3</f>
        <v>123.69670610640625</v>
      </c>
      <c r="K57" s="1">
        <f>J15/(1+$B$57)^4</f>
        <v>128.41574328931236</v>
      </c>
      <c r="L57" s="1">
        <f>K15/(1+$B$57)^5</f>
        <v>128.64754065987069</v>
      </c>
      <c r="M57" s="1">
        <f>L15/(1+$B$57)^6</f>
        <v>131.07969538068716</v>
      </c>
      <c r="N57" s="1">
        <f>M15/(1+$B$57)^7</f>
        <v>131.64997638437987</v>
      </c>
      <c r="O57" s="1">
        <f>N15/(1+$B$57)^8</f>
        <v>133.49165024174252</v>
      </c>
      <c r="P57" s="1">
        <f>O15/(1+$B$57)^9</f>
        <v>132.52781161183822</v>
      </c>
      <c r="Q57" s="1">
        <f>(Q15/(B57-Q12))/(1+B57)^10</f>
        <v>1500.1347480980755</v>
      </c>
    </row>
    <row r="58" spans="1:17" ht="16.5" thickBot="1" x14ac:dyDescent="0.3">
      <c r="A58" s="22"/>
      <c r="C58" s="65"/>
      <c r="D58" s="66"/>
    </row>
    <row r="59" spans="1:17" x14ac:dyDescent="0.25">
      <c r="A59" s="59" t="s">
        <v>42</v>
      </c>
      <c r="B59" s="23"/>
      <c r="C59" s="67">
        <v>32</v>
      </c>
      <c r="D59" s="23"/>
      <c r="E59" s="24"/>
    </row>
    <row r="60" spans="1:17" x14ac:dyDescent="0.25">
      <c r="A60" s="25" t="s">
        <v>21</v>
      </c>
      <c r="C60" s="68" t="s">
        <v>40</v>
      </c>
      <c r="E60" s="26"/>
    </row>
    <row r="61" spans="1:17" x14ac:dyDescent="0.25">
      <c r="A61" s="25"/>
      <c r="C61" s="68"/>
      <c r="E61" s="26"/>
    </row>
    <row r="62" spans="1:17" x14ac:dyDescent="0.25">
      <c r="A62" s="25" t="s">
        <v>37</v>
      </c>
      <c r="C62" s="68"/>
      <c r="E62" s="60">
        <f>P17*C59</f>
        <v>356.46372680078861</v>
      </c>
    </row>
    <row r="63" spans="1:17" x14ac:dyDescent="0.25">
      <c r="A63" s="25"/>
      <c r="C63" s="68"/>
      <c r="E63" s="26"/>
    </row>
    <row r="64" spans="1:17" x14ac:dyDescent="0.25">
      <c r="A64" s="25" t="s">
        <v>17</v>
      </c>
      <c r="C64" s="69">
        <v>0.2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14.35817958399798</v>
      </c>
    </row>
    <row r="67" spans="1:5" x14ac:dyDescent="0.25">
      <c r="A67" s="25"/>
      <c r="E67" s="61"/>
    </row>
    <row r="68" spans="1:5" x14ac:dyDescent="0.25">
      <c r="A68" s="103" t="s">
        <v>48</v>
      </c>
      <c r="E68" s="104">
        <f>(E66*0.25)*-1</f>
        <v>-3.5895448959994951</v>
      </c>
    </row>
    <row r="69" spans="1:5" x14ac:dyDescent="0.25">
      <c r="A69" s="25"/>
      <c r="C69" s="41"/>
      <c r="D69" s="41"/>
      <c r="E69" s="62"/>
    </row>
    <row r="70" spans="1:5" x14ac:dyDescent="0.25">
      <c r="A70" s="25" t="s">
        <v>43</v>
      </c>
      <c r="E70" s="60">
        <f>SUM(E62:E68)</f>
        <v>367.23236148878709</v>
      </c>
    </row>
    <row r="71" spans="1:5" x14ac:dyDescent="0.25">
      <c r="A71" s="25"/>
      <c r="E71" s="60"/>
    </row>
    <row r="72" spans="1:5" x14ac:dyDescent="0.25">
      <c r="A72" s="25" t="s">
        <v>44</v>
      </c>
      <c r="E72" s="62">
        <f>E70/C51-1</f>
        <v>1.8084457134352028</v>
      </c>
    </row>
    <row r="73" spans="1:5" x14ac:dyDescent="0.25">
      <c r="A73" s="25"/>
      <c r="E73" s="26"/>
    </row>
    <row r="74" spans="1:5" ht="16.5" thickBot="1" x14ac:dyDescent="0.3">
      <c r="A74" s="63" t="s">
        <v>45</v>
      </c>
      <c r="B74" s="64"/>
      <c r="C74" s="64"/>
      <c r="D74" s="64"/>
      <c r="E74" s="102">
        <f>(E70/C51)^(1/10)-1</f>
        <v>0.10878311409009589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2E19-683E-48EC-9C64-69D5A2053526}">
  <dimension ref="A2:AB74"/>
  <sheetViews>
    <sheetView tabSelected="1" topLeftCell="A33" zoomScaleNormal="100" workbookViewId="0">
      <selection activeCell="C51" sqref="C51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47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2">
        <v>643.71</v>
      </c>
      <c r="D11" s="82">
        <v>703.64</v>
      </c>
      <c r="E11" s="82">
        <v>799.02</v>
      </c>
      <c r="F11" s="82">
        <v>942.36</v>
      </c>
      <c r="G11" s="72">
        <f t="shared" ref="G11" si="0">F11*(1+G12)</f>
        <v>1060.155</v>
      </c>
      <c r="H11" s="72">
        <f t="shared" ref="H11" si="1">G11*(1+H12)</f>
        <v>1192.6743750000001</v>
      </c>
      <c r="I11" s="72">
        <f t="shared" ref="I11" si="2">H11*(1+I12)</f>
        <v>1341.7586718750001</v>
      </c>
      <c r="J11" s="72">
        <f t="shared" ref="J11" si="3">I11*(1+J12)</f>
        <v>1509.4785058593752</v>
      </c>
      <c r="K11" s="72">
        <f t="shared" ref="K11" si="4">J11*(1+K12)</f>
        <v>1698.1633190917971</v>
      </c>
      <c r="L11" s="72">
        <f t="shared" ref="L11" si="5">K11*(1+L12)</f>
        <v>1910.4337339782717</v>
      </c>
      <c r="M11" s="72">
        <f t="shared" ref="M11:Q11" si="6">L11*(1+M12)</f>
        <v>2149.2379507255555</v>
      </c>
      <c r="N11" s="72">
        <f t="shared" si="6"/>
        <v>2417.8926945662497</v>
      </c>
      <c r="O11" s="72">
        <f t="shared" si="6"/>
        <v>2720.1292813870309</v>
      </c>
      <c r="P11" s="72">
        <f t="shared" si="6"/>
        <v>2910.5383310841235</v>
      </c>
      <c r="Q11" s="72">
        <f t="shared" si="6"/>
        <v>2968.749097705806</v>
      </c>
    </row>
    <row r="12" spans="1:28" x14ac:dyDescent="0.25">
      <c r="A12" s="5"/>
      <c r="B12" s="4" t="s">
        <v>1</v>
      </c>
      <c r="C12" s="86"/>
      <c r="D12" s="89">
        <f t="shared" ref="D12:F12" si="7">D11/C11-1</f>
        <v>9.3100930543257077E-2</v>
      </c>
      <c r="E12" s="89">
        <f t="shared" si="7"/>
        <v>0.13555227104769485</v>
      </c>
      <c r="F12" s="89">
        <f t="shared" si="7"/>
        <v>0.17939475857925968</v>
      </c>
      <c r="G12" s="85">
        <v>0.125</v>
      </c>
      <c r="H12" s="85">
        <f>G12</f>
        <v>0.125</v>
      </c>
      <c r="I12" s="85">
        <f t="shared" ref="I12:O12" si="8">H12</f>
        <v>0.125</v>
      </c>
      <c r="J12" s="85">
        <f t="shared" si="8"/>
        <v>0.125</v>
      </c>
      <c r="K12" s="85">
        <f t="shared" si="8"/>
        <v>0.125</v>
      </c>
      <c r="L12" s="85">
        <f t="shared" si="8"/>
        <v>0.125</v>
      </c>
      <c r="M12" s="85">
        <f t="shared" si="8"/>
        <v>0.125</v>
      </c>
      <c r="N12" s="85">
        <f t="shared" si="8"/>
        <v>0.125</v>
      </c>
      <c r="O12" s="85">
        <f t="shared" si="8"/>
        <v>0.125</v>
      </c>
      <c r="P12" s="85">
        <v>7.0000000000000007E-2</v>
      </c>
      <c r="Q12" s="85">
        <v>0.02</v>
      </c>
    </row>
    <row r="13" spans="1:28" ht="15.95" customHeight="1" x14ac:dyDescent="0.25">
      <c r="A13" s="5"/>
      <c r="B13" s="4" t="s">
        <v>15</v>
      </c>
      <c r="C13" s="88">
        <v>0.1628</v>
      </c>
      <c r="D13" s="88">
        <v>0.1641</v>
      </c>
      <c r="E13" s="88">
        <v>0.16009999999999999</v>
      </c>
      <c r="F13" s="88">
        <v>0.157</v>
      </c>
      <c r="G13" s="84">
        <v>0.1651</v>
      </c>
      <c r="H13" s="84">
        <v>0.1774</v>
      </c>
      <c r="I13" s="84">
        <v>0.185</v>
      </c>
      <c r="J13" s="84">
        <v>0.19</v>
      </c>
      <c r="K13" s="84">
        <v>0.19</v>
      </c>
      <c r="L13" s="84">
        <v>0.19500000000000001</v>
      </c>
      <c r="M13" s="84">
        <v>0.2</v>
      </c>
      <c r="N13" s="84">
        <v>0.21</v>
      </c>
      <c r="O13" s="84">
        <v>0.22</v>
      </c>
      <c r="P13" s="84">
        <v>0.23</v>
      </c>
      <c r="Q13" s="84">
        <v>0.23</v>
      </c>
    </row>
    <row r="14" spans="1:28" ht="17.100000000000001" customHeight="1" x14ac:dyDescent="0.25">
      <c r="A14" s="5"/>
      <c r="B14" s="4" t="s">
        <v>16</v>
      </c>
      <c r="C14" s="82">
        <f>C11*C13</f>
        <v>104.79598800000001</v>
      </c>
      <c r="D14" s="82">
        <f t="shared" ref="D14:Q14" si="9">D11*D13</f>
        <v>115.46732399999999</v>
      </c>
      <c r="E14" s="82">
        <f t="shared" si="9"/>
        <v>127.92310199999999</v>
      </c>
      <c r="F14" s="82">
        <f t="shared" si="9"/>
        <v>147.95052000000001</v>
      </c>
      <c r="G14" s="72">
        <f t="shared" si="9"/>
        <v>175.03159049999999</v>
      </c>
      <c r="H14" s="72">
        <f t="shared" si="9"/>
        <v>211.58043412500001</v>
      </c>
      <c r="I14" s="72">
        <f t="shared" si="9"/>
        <v>248.22535429687503</v>
      </c>
      <c r="J14" s="72">
        <f t="shared" si="9"/>
        <v>286.80091611328129</v>
      </c>
      <c r="K14" s="72">
        <f t="shared" si="9"/>
        <v>322.65103062744146</v>
      </c>
      <c r="L14" s="72">
        <f t="shared" si="9"/>
        <v>372.53457812576301</v>
      </c>
      <c r="M14" s="72">
        <f t="shared" si="9"/>
        <v>429.8475901451111</v>
      </c>
      <c r="N14" s="72">
        <f t="shared" si="9"/>
        <v>507.75746585891244</v>
      </c>
      <c r="O14" s="72">
        <f>O11*O13</f>
        <v>598.42844190514677</v>
      </c>
      <c r="P14" s="72">
        <f t="shared" si="9"/>
        <v>669.42381614934845</v>
      </c>
      <c r="Q14" s="72">
        <f t="shared" si="9"/>
        <v>682.81229247233546</v>
      </c>
    </row>
    <row r="15" spans="1:28" x14ac:dyDescent="0.25">
      <c r="A15" s="100">
        <v>0.25</v>
      </c>
      <c r="B15" s="4" t="s">
        <v>39</v>
      </c>
      <c r="C15" s="82">
        <v>79.691298000000003</v>
      </c>
      <c r="D15" s="82">
        <v>84.647891999999999</v>
      </c>
      <c r="E15" s="82">
        <v>96.122106000000002</v>
      </c>
      <c r="F15" s="82">
        <v>105.35584799999999</v>
      </c>
      <c r="G15" s="72">
        <v>108.919692</v>
      </c>
      <c r="H15" s="72">
        <v>130.33619999999999</v>
      </c>
      <c r="I15" s="72">
        <f t="shared" ref="I15:K15" si="10">I14*(1-$A$15)</f>
        <v>186.16901572265627</v>
      </c>
      <c r="J15" s="72">
        <f t="shared" si="10"/>
        <v>215.10068708496095</v>
      </c>
      <c r="K15" s="72">
        <f t="shared" si="10"/>
        <v>241.98827297058108</v>
      </c>
      <c r="L15" s="72">
        <f t="shared" ref="L15:Q15" si="11">L14*(1-$A$15)</f>
        <v>279.40093359432228</v>
      </c>
      <c r="M15" s="72">
        <f t="shared" si="11"/>
        <v>322.38569260883332</v>
      </c>
      <c r="N15" s="72">
        <f t="shared" si="11"/>
        <v>380.81809939418434</v>
      </c>
      <c r="O15" s="72">
        <f>O14*(1-$A$15)</f>
        <v>448.82133142886005</v>
      </c>
      <c r="P15" s="72">
        <f t="shared" si="11"/>
        <v>502.06786211201131</v>
      </c>
      <c r="Q15" s="72">
        <f t="shared" si="11"/>
        <v>512.10921935425154</v>
      </c>
    </row>
    <row r="16" spans="1:28" ht="32.25" hidden="1" thickBot="1" x14ac:dyDescent="0.3">
      <c r="A16" s="13" t="s">
        <v>6</v>
      </c>
      <c r="B16" s="14"/>
      <c r="C16" s="15">
        <f t="shared" ref="C16:J16" si="12">C15/C14</f>
        <v>0.76044226044226038</v>
      </c>
      <c r="D16" s="15">
        <f t="shared" si="12"/>
        <v>0.73308957952468012</v>
      </c>
      <c r="E16" s="15">
        <f t="shared" si="12"/>
        <v>0.75140537164272336</v>
      </c>
      <c r="F16" s="15">
        <f t="shared" si="12"/>
        <v>0.71210191082802543</v>
      </c>
      <c r="G16" s="15">
        <f t="shared" si="12"/>
        <v>0.62228590672607753</v>
      </c>
      <c r="H16" s="15">
        <f t="shared" si="12"/>
        <v>0.61601253697682845</v>
      </c>
      <c r="I16" s="15">
        <f t="shared" si="12"/>
        <v>0.75</v>
      </c>
      <c r="J16" s="15">
        <f t="shared" si="12"/>
        <v>0.75</v>
      </c>
    </row>
    <row r="17" spans="1:18" x14ac:dyDescent="0.25">
      <c r="A17" s="2" t="s">
        <v>36</v>
      </c>
      <c r="C17" s="82"/>
      <c r="D17" s="82"/>
      <c r="E17" s="82"/>
      <c r="F17" s="82"/>
      <c r="G17" s="72">
        <f>G15/G18</f>
        <v>3.3617188888888889</v>
      </c>
      <c r="H17" s="72">
        <f t="shared" ref="H17:O17" si="13">H15/H18</f>
        <v>4.0227222222222219</v>
      </c>
      <c r="I17" s="72">
        <f t="shared" si="13"/>
        <v>5.7459572753906256</v>
      </c>
      <c r="J17" s="72">
        <f t="shared" si="13"/>
        <v>6.6389100952148441</v>
      </c>
      <c r="K17" s="72">
        <f t="shared" si="13"/>
        <v>7.4687738571166999</v>
      </c>
      <c r="L17" s="72">
        <f t="shared" si="13"/>
        <v>8.6234856047630331</v>
      </c>
      <c r="M17" s="72">
        <f t="shared" si="13"/>
        <v>9.9501756978034983</v>
      </c>
      <c r="N17" s="72">
        <f t="shared" si="13"/>
        <v>11.753645043030382</v>
      </c>
      <c r="O17" s="72">
        <f t="shared" si="13"/>
        <v>13.852510229285805</v>
      </c>
      <c r="P17" s="72">
        <f>P15/P18</f>
        <v>15.495921670123806</v>
      </c>
      <c r="Q17" s="72"/>
    </row>
    <row r="18" spans="1:18" ht="32.25" thickBot="1" x14ac:dyDescent="0.3">
      <c r="A18" s="2" t="s">
        <v>38</v>
      </c>
      <c r="C18" s="82"/>
      <c r="D18" s="82"/>
      <c r="E18" s="82"/>
      <c r="F18" s="82"/>
      <c r="G18" s="72">
        <f>C50</f>
        <v>32.4</v>
      </c>
      <c r="H18" s="72">
        <f>G18*1</f>
        <v>32.4</v>
      </c>
      <c r="I18" s="72">
        <f t="shared" ref="I18:P18" si="14">H18*1</f>
        <v>32.4</v>
      </c>
      <c r="J18" s="72">
        <f t="shared" si="14"/>
        <v>32.4</v>
      </c>
      <c r="K18" s="72">
        <f t="shared" si="14"/>
        <v>32.4</v>
      </c>
      <c r="L18" s="72">
        <f t="shared" si="14"/>
        <v>32.4</v>
      </c>
      <c r="M18" s="72">
        <f t="shared" si="14"/>
        <v>32.4</v>
      </c>
      <c r="N18" s="72">
        <f t="shared" si="14"/>
        <v>32.4</v>
      </c>
      <c r="O18" s="72">
        <f t="shared" si="14"/>
        <v>32.4</v>
      </c>
      <c r="P18" s="72">
        <f t="shared" si="14"/>
        <v>32.4</v>
      </c>
      <c r="Q18" s="72"/>
    </row>
    <row r="19" spans="1:18" ht="16.5" thickBot="1" x14ac:dyDescent="0.3">
      <c r="A19" s="2"/>
      <c r="E19" s="51" t="s">
        <v>12</v>
      </c>
      <c r="F19" s="52"/>
      <c r="G19" s="53">
        <f>G15/(1+$C$55)</f>
        <v>99.379281021897796</v>
      </c>
      <c r="H19" s="53">
        <f>H15/(1+$C$55)^2</f>
        <v>108.50354973626722</v>
      </c>
      <c r="I19" s="53">
        <f>I15/(1+$C$55)^3</f>
        <v>141.40857316491082</v>
      </c>
      <c r="J19" s="53">
        <f>J15/(1+$C$55)^4</f>
        <v>149.07320237719313</v>
      </c>
      <c r="K19" s="53">
        <f>K15/(1+$C$55)^5</f>
        <v>153.01765754958237</v>
      </c>
      <c r="L19" s="53">
        <f>L15/(1+$C$55)^6</f>
        <v>161.19981091500017</v>
      </c>
      <c r="M19" s="53">
        <f>M15/(1+$C$55)^7</f>
        <v>169.70783013229939</v>
      </c>
      <c r="N19" s="53">
        <f>N15/(1+$C$55)^8</f>
        <v>182.90818826987098</v>
      </c>
      <c r="O19" s="53">
        <f>O15/(1+$C$55)^9</f>
        <v>196.68828900240294</v>
      </c>
      <c r="P19" s="53">
        <f>P15/(1+$C$55)^10</f>
        <v>200.75061348495092</v>
      </c>
      <c r="Q19" s="54">
        <f>(Q15/(C55-Q12))/(1+C55)^10</f>
        <v>2694.2845494032881</v>
      </c>
    </row>
    <row r="20" spans="1:18" x14ac:dyDescent="0.25">
      <c r="A20" s="2"/>
      <c r="C20" s="75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8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79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0">
        <f>(I27-I23)*I29</f>
        <v>5.8500000000000017E-2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79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1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79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79">
        <v>1.8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79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1">
        <f>I23+(I27-I23)*I29</f>
        <v>9.6000000000000016E-2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6" t="s">
        <v>34</v>
      </c>
      <c r="H33" s="22"/>
      <c r="I33" s="77">
        <f>I31</f>
        <v>9.6000000000000016E-2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9.6000000000000016E-2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3">
        <v>45122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4236.6239999999998</v>
      </c>
      <c r="D49" s="47">
        <f>SUM(G19:Q19)</f>
        <v>4256.9215450576639</v>
      </c>
      <c r="E49" s="46" t="s">
        <v>46</v>
      </c>
    </row>
    <row r="50" spans="1:17" x14ac:dyDescent="0.25">
      <c r="A50" s="45"/>
      <c r="B50" s="46" t="s">
        <v>11</v>
      </c>
      <c r="C50" s="56">
        <v>32.4</v>
      </c>
      <c r="D50" s="56">
        <f>C50</f>
        <v>32.4</v>
      </c>
      <c r="E50" s="46"/>
    </row>
    <row r="51" spans="1:17" x14ac:dyDescent="0.25">
      <c r="A51" s="45"/>
      <c r="B51" s="46" t="s">
        <v>13</v>
      </c>
      <c r="C51" s="87">
        <v>130.76</v>
      </c>
      <c r="D51" s="87">
        <f>D49/(D50)</f>
        <v>131.38646744005135</v>
      </c>
      <c r="E51" s="46" t="s">
        <v>46</v>
      </c>
    </row>
    <row r="52" spans="1:17" x14ac:dyDescent="0.25">
      <c r="A52" s="45"/>
      <c r="B52" s="46" t="s">
        <v>2</v>
      </c>
      <c r="C52" s="46"/>
      <c r="D52" s="57">
        <f>IF(C51/D51-1&gt;0,0,C51/D51-1)*-1</f>
        <v>4.7681275876999551E-3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9.6000000000000016E-2</v>
      </c>
      <c r="D55" s="49"/>
      <c r="E55" s="46"/>
      <c r="J55" s="70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3">
        <v>0.108</v>
      </c>
      <c r="C57" s="50"/>
      <c r="D57" s="74">
        <f>SUM(H57:Q57)*1000</f>
        <v>3369999.7535605552</v>
      </c>
      <c r="E57" s="46"/>
      <c r="F57" s="1" t="s">
        <v>23</v>
      </c>
      <c r="H57" s="1">
        <f>G15/(1+$B$57)</f>
        <v>98.302971119133559</v>
      </c>
      <c r="I57" s="1">
        <f>H15/(1+$B$57)^2</f>
        <v>106.16601936686256</v>
      </c>
      <c r="J57" s="1">
        <f>I15/(1+$B$57)^3</f>
        <v>136.86365110243378</v>
      </c>
      <c r="K57" s="1">
        <f>J15/(1+$B$57)^4</f>
        <v>142.71931614374674</v>
      </c>
      <c r="L57" s="1">
        <f>K15/(1+$B$57)^5</f>
        <v>144.90905294378618</v>
      </c>
      <c r="M57" s="1">
        <f>L15/(1+$B$57)^6</f>
        <v>151.00429170408083</v>
      </c>
      <c r="N57" s="1">
        <f>M15/(1+$B$57)^7</f>
        <v>157.25245595398582</v>
      </c>
      <c r="O57" s="1">
        <f>N15/(1+$B$57)^8</f>
        <v>167.64843284805565</v>
      </c>
      <c r="P57" s="1">
        <f>O15/(1+$B$57)^9</f>
        <v>178.32640162409214</v>
      </c>
      <c r="Q57" s="1">
        <f>(Q15/(B57-Q12))/(1+B57)^10</f>
        <v>2086.8071607543779</v>
      </c>
    </row>
    <row r="58" spans="1:17" ht="16.5" thickBot="1" x14ac:dyDescent="0.3">
      <c r="A58" s="22"/>
      <c r="C58" s="65"/>
      <c r="D58" s="66"/>
    </row>
    <row r="59" spans="1:17" x14ac:dyDescent="0.25">
      <c r="A59" s="59" t="s">
        <v>42</v>
      </c>
      <c r="B59" s="23"/>
      <c r="C59" s="67">
        <v>22</v>
      </c>
      <c r="D59" s="23"/>
      <c r="E59" s="24"/>
    </row>
    <row r="60" spans="1:17" x14ac:dyDescent="0.25">
      <c r="A60" s="25" t="s">
        <v>21</v>
      </c>
      <c r="C60" s="68"/>
      <c r="E60" s="26"/>
    </row>
    <row r="61" spans="1:17" x14ac:dyDescent="0.25">
      <c r="A61" s="25"/>
      <c r="C61" s="68"/>
      <c r="E61" s="26"/>
    </row>
    <row r="62" spans="1:17" x14ac:dyDescent="0.25">
      <c r="A62" s="25" t="s">
        <v>37</v>
      </c>
      <c r="C62" s="68"/>
      <c r="E62" s="60">
        <f>P17*C59</f>
        <v>340.91027674272374</v>
      </c>
    </row>
    <row r="63" spans="1:17" x14ac:dyDescent="0.25">
      <c r="A63" s="25"/>
      <c r="C63" s="68"/>
      <c r="E63" s="26"/>
    </row>
    <row r="64" spans="1:17" x14ac:dyDescent="0.25">
      <c r="A64" s="25" t="s">
        <v>17</v>
      </c>
      <c r="C64" s="69">
        <v>0.2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17.382764116767962</v>
      </c>
    </row>
    <row r="67" spans="1:5" x14ac:dyDescent="0.25">
      <c r="A67" s="25"/>
      <c r="E67" s="61"/>
    </row>
    <row r="68" spans="1:5" x14ac:dyDescent="0.25">
      <c r="A68" s="103" t="s">
        <v>48</v>
      </c>
      <c r="E68" s="104">
        <f>(E66*0.25)*-1</f>
        <v>-4.3456910291919906</v>
      </c>
    </row>
    <row r="69" spans="1:5" x14ac:dyDescent="0.25">
      <c r="A69" s="25"/>
      <c r="C69" s="41"/>
      <c r="D69" s="41"/>
      <c r="E69" s="62"/>
    </row>
    <row r="70" spans="1:5" x14ac:dyDescent="0.25">
      <c r="A70" s="25" t="s">
        <v>43</v>
      </c>
      <c r="E70" s="60">
        <f>SUM(E62:E68)</f>
        <v>353.94734983029974</v>
      </c>
    </row>
    <row r="71" spans="1:5" x14ac:dyDescent="0.25">
      <c r="A71" s="25"/>
      <c r="E71" s="60"/>
    </row>
    <row r="72" spans="1:5" x14ac:dyDescent="0.25">
      <c r="A72" s="25" t="s">
        <v>44</v>
      </c>
      <c r="E72" s="62">
        <f>E70/C51-1</f>
        <v>1.7068472761570801</v>
      </c>
    </row>
    <row r="73" spans="1:5" x14ac:dyDescent="0.25">
      <c r="A73" s="25"/>
      <c r="E73" s="26"/>
    </row>
    <row r="74" spans="1:5" ht="16.5" thickBot="1" x14ac:dyDescent="0.3">
      <c r="A74" s="63" t="s">
        <v>45</v>
      </c>
      <c r="B74" s="64"/>
      <c r="C74" s="64"/>
      <c r="D74" s="64"/>
      <c r="E74" s="102">
        <f>(E70/C51)^(1/10)-1</f>
        <v>0.10470514150257371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Pessimistisch</vt:lpstr>
      <vt:lpstr>Optimistisch</vt:lpstr>
      <vt:lpstr>Wachstum für faire Bewertung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2023-07-15T09:47:30Z</dcterms:modified>
</cp:coreProperties>
</file>