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15C67A1-C803-4993-B620-0C2E78DA244D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5" l="1"/>
  <c r="K11" i="32" l="1"/>
  <c r="J12" i="32" l="1"/>
  <c r="J12" i="34" l="1"/>
  <c r="H12" i="35" l="1"/>
  <c r="H11" i="35" s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4" l="1"/>
  <c r="J16" i="34" l="1"/>
  <c r="K11" i="34"/>
  <c r="J19" i="34" l="1"/>
  <c r="K57" i="34"/>
  <c r="J17" i="34"/>
  <c r="K14" i="34"/>
  <c r="K15" i="34" s="1"/>
  <c r="L11" i="34"/>
  <c r="L14" i="34" l="1"/>
  <c r="L15" i="34" s="1"/>
  <c r="M11" i="34"/>
  <c r="K19" i="34"/>
  <c r="K17" i="34"/>
  <c r="L57" i="34"/>
  <c r="N11" i="34" l="1"/>
  <c r="M14" i="34"/>
  <c r="M15" i="34" s="1"/>
  <c r="M57" i="34"/>
  <c r="L19" i="34"/>
  <c r="L17" i="34"/>
  <c r="M19" i="34" l="1"/>
  <c r="N57" i="34"/>
  <c r="M17" i="34"/>
  <c r="N14" i="34"/>
  <c r="N15" i="34" s="1"/>
  <c r="O11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O19" i="34"/>
  <c r="P57" i="34"/>
  <c r="O17" i="34"/>
  <c r="D43" i="34" l="1"/>
  <c r="D42" i="34"/>
  <c r="D40" i="34"/>
  <c r="D44" i="34"/>
  <c r="D41" i="34"/>
  <c r="P17" i="34"/>
  <c r="P19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4" i="34" s="1"/>
  <c r="E72" i="34" l="1"/>
  <c r="J14" i="32"/>
  <c r="J19" i="32" l="1"/>
  <c r="K57" i="32"/>
  <c r="J16" i="32"/>
  <c r="J17" i="32"/>
  <c r="L11" i="32" l="1"/>
  <c r="K14" i="32"/>
  <c r="K15" i="32" s="1"/>
  <c r="K17" i="32" l="1"/>
  <c r="L57" i="32"/>
  <c r="K19" i="32"/>
  <c r="L14" i="32"/>
  <c r="L15" i="32" s="1"/>
  <c r="M11" i="32"/>
  <c r="M14" i="32" l="1"/>
  <c r="M15" i="32" s="1"/>
  <c r="N11" i="32"/>
  <c r="L19" i="32"/>
  <c r="M57" i="32"/>
  <c r="L17" i="32"/>
  <c r="N14" i="32" l="1"/>
  <c r="N15" i="32" s="1"/>
  <c r="O11" i="32"/>
  <c r="N57" i="32"/>
  <c r="M17" i="32"/>
  <c r="M19" i="32"/>
  <c r="P11" i="32" l="1"/>
  <c r="O14" i="32"/>
  <c r="O15" i="32" s="1"/>
  <c r="O57" i="32"/>
  <c r="N19" i="32"/>
  <c r="N17" i="32"/>
  <c r="O17" i="32" l="1"/>
  <c r="P57" i="32"/>
  <c r="O19" i="32"/>
  <c r="Q11" i="32"/>
  <c r="Q14" i="32" s="1"/>
  <c r="Q15" i="32" s="1"/>
  <c r="P14" i="32"/>
  <c r="P15" i="32" s="1"/>
  <c r="D43" i="32" l="1"/>
  <c r="D44" i="32"/>
  <c r="D42" i="32"/>
  <c r="D40" i="32"/>
  <c r="D41" i="32"/>
  <c r="P19" i="32"/>
  <c r="P17" i="32"/>
  <c r="E62" i="32" s="1"/>
  <c r="Q57" i="32"/>
  <c r="D57" i="32" s="1"/>
  <c r="Q19" i="32"/>
  <c r="D49" i="32" l="1"/>
  <c r="D51" i="32" s="1"/>
  <c r="D52" i="32" s="1"/>
  <c r="E66" i="32"/>
  <c r="E68" i="32" s="1"/>
  <c r="E70" i="32" l="1"/>
  <c r="E74" i="32" s="1"/>
  <c r="D53" i="32"/>
  <c r="E72" i="32" l="1"/>
</calcChain>
</file>

<file path=xl/sharedStrings.xml><?xml version="1.0" encoding="utf-8"?>
<sst xmlns="http://schemas.openxmlformats.org/spreadsheetml/2006/main" count="148" uniqueCount="49">
  <si>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</si>
  <si>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</si>
  <si>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</si>
  <si>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</si>
  <si>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</si>
  <si>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</si>
  <si>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</si>
  <si>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</si>
  <si>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</si>
  <si>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</si>
  <si>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</si>
  <si>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</si>
  <si>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</si>
  <si>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</si>
  <si>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</si>
  <si>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</si>
  <si>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</si>
  <si>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</si>
  <si>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</si>
  <si>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</si>
  <si>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</si>
  <si>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</si>
  <si>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</si>
  <si>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</si>
  <si>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</si>
  <si>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</si>
  <si>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</si>
  <si>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</si>
  <si>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</si>
  <si>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</si>
  <si>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</si>
  <si>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</si>
  <si>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</si>
  <si>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</si>
  <si>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</si>
  <si>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</si>
  <si>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</si>
  <si>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</si>
  <si>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</si>
  <si>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</si>
  <si>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</si>
  <si>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</si>
  <si>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</si>
  <si>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</si>
  <si>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</si>
  <si>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</si>
  <si>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 xml:space="preserve"> Annahmen für Elia</t>
  </si>
  <si>
    <t>EUR</t>
  </si>
  <si>
    <t>Quellensteuer Belgien (25 %)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</si>
</sst>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56" zoomScaleNormal="100" workbookViewId="0">
      <selection activeCell="C60" sqref="C60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46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2">
        <v>2242.3000000000002</v>
      </c>
      <c r="D11" s="82">
        <v>2209.6</v>
      </c>
      <c r="E11" s="82">
        <v>2551.3000000000002</v>
      </c>
      <c r="F11" s="82">
        <v>3616</v>
      </c>
      <c r="G11" s="72">
        <v>3599.04</v>
      </c>
      <c r="H11" s="72">
        <v>3739.51</v>
      </c>
      <c r="I11" s="72">
        <v>4122.1099999999997</v>
      </c>
      <c r="J11" s="72">
        <v>4523.8500000000004</v>
      </c>
      <c r="K11" s="72">
        <f t="shared" ref="K11" si="0">J11*(1+K12)</f>
        <v>4750.0425000000005</v>
      </c>
      <c r="L11" s="72">
        <f t="shared" ref="L11:Q11" si="1">K11*(1+L12)</f>
        <v>4940.0442000000003</v>
      </c>
      <c r="M11" s="72">
        <f t="shared" si="1"/>
        <v>5112.9457469999998</v>
      </c>
      <c r="N11" s="72">
        <f t="shared" si="1"/>
        <v>5266.3341194100003</v>
      </c>
      <c r="O11" s="72">
        <f t="shared" si="1"/>
        <v>5371.6608017982007</v>
      </c>
      <c r="P11" s="72">
        <f t="shared" si="1"/>
        <v>5479.0940178341652</v>
      </c>
      <c r="Q11" s="72">
        <f t="shared" si="1"/>
        <v>5561.280428101677</v>
      </c>
    </row>
    <row r="12" spans="1:28" x14ac:dyDescent="0.35">
      <c r="A12" s="5"/>
      <c r="B12" s="4" t="s">
        <v>1</v>
      </c>
      <c r="C12" s="86"/>
      <c r="D12" s="89">
        <f t="shared" ref="D12:J12" si="2">D11/C11-1</f>
        <v>-1.4583240422780253E-2</v>
      </c>
      <c r="E12" s="89">
        <f t="shared" si="2"/>
        <v>0.1546433743664013</v>
      </c>
      <c r="F12" s="89">
        <f t="shared" si="2"/>
        <v>0.41731666209383445</v>
      </c>
      <c r="G12" s="85">
        <f t="shared" si="2"/>
        <v>-4.6902654867256866E-3</v>
      </c>
      <c r="H12" s="85">
        <f t="shared" si="2"/>
        <v>3.902985240508583E-2</v>
      </c>
      <c r="I12" s="85">
        <f t="shared" si="2"/>
        <v>0.10231286986797716</v>
      </c>
      <c r="J12" s="85">
        <f t="shared" si="2"/>
        <v>9.7459796075311189E-2</v>
      </c>
      <c r="K12" s="85">
        <v>0.05</v>
      </c>
      <c r="L12" s="71">
        <v>0.04</v>
      </c>
      <c r="M12" s="71">
        <v>3.5000000000000003E-2</v>
      </c>
      <c r="N12" s="71">
        <v>0.03</v>
      </c>
      <c r="O12" s="71">
        <v>0.02</v>
      </c>
      <c r="P12" s="71">
        <v>0.02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88">
        <v>0.28060000000000002</v>
      </c>
      <c r="D13" s="88">
        <v>0.17380000000000001</v>
      </c>
      <c r="E13" s="88">
        <v>0.1106</v>
      </c>
      <c r="F13" s="88">
        <v>5.1400000000000001E-2</v>
      </c>
      <c r="G13" s="84">
        <v>0.18540000000000001</v>
      </c>
      <c r="H13" s="84">
        <v>0.1847</v>
      </c>
      <c r="I13" s="84">
        <v>0.19289999999999999</v>
      </c>
      <c r="J13" s="84">
        <v>0.1852</v>
      </c>
      <c r="K13" s="84">
        <v>0.185</v>
      </c>
      <c r="L13" s="84">
        <v>0.185</v>
      </c>
      <c r="M13" s="84">
        <v>0.185</v>
      </c>
      <c r="N13" s="84">
        <v>0.185</v>
      </c>
      <c r="O13" s="84">
        <v>0.185</v>
      </c>
      <c r="P13" s="84">
        <v>0.185</v>
      </c>
      <c r="Q13" s="84">
        <v>0.185</v>
      </c>
    </row>
    <row r="14" spans="1:28" ht="17.149999999999999" customHeight="1" x14ac:dyDescent="0.35">
      <c r="A14" s="5"/>
      <c r="B14" s="4" t="s">
        <v>16</v>
      </c>
      <c r="C14" s="82">
        <f>C11*C13</f>
        <v>629.18938000000014</v>
      </c>
      <c r="D14" s="82">
        <f t="shared" ref="D14:I14" si="3">D11*D13</f>
        <v>384.02848</v>
      </c>
      <c r="E14" s="82">
        <f t="shared" si="3"/>
        <v>282.17378000000002</v>
      </c>
      <c r="F14" s="82">
        <f t="shared" si="3"/>
        <v>185.86240000000001</v>
      </c>
      <c r="G14" s="72">
        <f t="shared" si="3"/>
        <v>667.26201600000002</v>
      </c>
      <c r="H14" s="72">
        <f t="shared" si="3"/>
        <v>690.68749700000001</v>
      </c>
      <c r="I14" s="72">
        <f t="shared" si="3"/>
        <v>795.15501899999992</v>
      </c>
      <c r="J14" s="72">
        <f>J11*J13</f>
        <v>837.81702000000007</v>
      </c>
      <c r="K14" s="72">
        <f t="shared" ref="K14:Q14" si="4">K11*K13</f>
        <v>878.7578625000001</v>
      </c>
      <c r="L14" s="72">
        <f t="shared" si="4"/>
        <v>913.90817700000002</v>
      </c>
      <c r="M14" s="72">
        <f t="shared" si="4"/>
        <v>945.89496319499995</v>
      </c>
      <c r="N14" s="72">
        <f t="shared" si="4"/>
        <v>974.27181209085006</v>
      </c>
      <c r="O14" s="72">
        <f t="shared" si="4"/>
        <v>993.75724833266713</v>
      </c>
      <c r="P14" s="72">
        <f>P11*P13</f>
        <v>1013.6323932993206</v>
      </c>
      <c r="Q14" s="72">
        <f t="shared" si="4"/>
        <v>1028.8368791988103</v>
      </c>
    </row>
    <row r="15" spans="1:28" x14ac:dyDescent="0.35">
      <c r="A15" s="100">
        <v>0.5</v>
      </c>
      <c r="B15" s="4" t="s">
        <v>39</v>
      </c>
      <c r="C15" s="82">
        <v>254.27682000000001</v>
      </c>
      <c r="D15" s="82">
        <v>250.12671999999998</v>
      </c>
      <c r="E15" s="82">
        <v>275.79553000000004</v>
      </c>
      <c r="F15" s="82">
        <v>341.71199999999999</v>
      </c>
      <c r="G15" s="72">
        <v>312.756576</v>
      </c>
      <c r="H15" s="72">
        <v>307.01377100000002</v>
      </c>
      <c r="I15" s="72">
        <v>348.73050599999993</v>
      </c>
      <c r="J15" s="72">
        <v>375.93193500000001</v>
      </c>
      <c r="K15" s="72">
        <f t="shared" ref="K15:Q15" si="5">K14*(1-$A$15)</f>
        <v>439.37893125000005</v>
      </c>
      <c r="L15" s="72">
        <f t="shared" si="5"/>
        <v>456.95408850000001</v>
      </c>
      <c r="M15" s="72">
        <f t="shared" si="5"/>
        <v>472.94748159749997</v>
      </c>
      <c r="N15" s="72">
        <f t="shared" si="5"/>
        <v>487.13590604542503</v>
      </c>
      <c r="O15" s="72">
        <f t="shared" si="5"/>
        <v>496.87862416633357</v>
      </c>
      <c r="P15" s="72">
        <f>P14*(1-$A$15)</f>
        <v>506.8161966496603</v>
      </c>
      <c r="Q15" s="72">
        <f t="shared" si="5"/>
        <v>514.41843959940513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0.40413399857448318</v>
      </c>
      <c r="D16" s="15">
        <f t="shared" si="6"/>
        <v>0.65132336018411963</v>
      </c>
      <c r="E16" s="15">
        <f t="shared" si="6"/>
        <v>0.97739602169981921</v>
      </c>
      <c r="F16" s="15">
        <f t="shared" si="6"/>
        <v>1.83852140077821</v>
      </c>
      <c r="G16" s="15">
        <f t="shared" si="6"/>
        <v>0.46871628910463858</v>
      </c>
      <c r="H16" s="15">
        <f t="shared" si="6"/>
        <v>0.4445046020573904</v>
      </c>
      <c r="I16" s="15">
        <f t="shared" si="6"/>
        <v>0.43856920684292378</v>
      </c>
      <c r="J16" s="15">
        <f t="shared" si="6"/>
        <v>0.44870410367170621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4.3988266666666673</v>
      </c>
      <c r="H17" s="72">
        <f t="shared" ref="H17:P17" si="7">H15/H18</f>
        <v>4.318055850914206</v>
      </c>
      <c r="I17" s="72">
        <f t="shared" si="7"/>
        <v>4.9047891139240498</v>
      </c>
      <c r="J17" s="72">
        <f t="shared" si="7"/>
        <v>5.2873689873417726</v>
      </c>
      <c r="K17" s="72">
        <f t="shared" si="7"/>
        <v>6.1797318037974698</v>
      </c>
      <c r="L17" s="72">
        <f t="shared" si="7"/>
        <v>6.4269210759493678</v>
      </c>
      <c r="M17" s="72">
        <f t="shared" si="7"/>
        <v>6.6518633136075955</v>
      </c>
      <c r="N17" s="72">
        <f t="shared" si="7"/>
        <v>6.8514192130158236</v>
      </c>
      <c r="O17" s="72">
        <f t="shared" si="7"/>
        <v>6.9884475972761404</v>
      </c>
      <c r="P17" s="72">
        <f t="shared" si="7"/>
        <v>7.1282165492216647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71.099999999999994</v>
      </c>
      <c r="H18" s="72">
        <f>G18*1</f>
        <v>71.099999999999994</v>
      </c>
      <c r="I18" s="72">
        <f t="shared" ref="I18:P18" si="8">H18*1</f>
        <v>71.099999999999994</v>
      </c>
      <c r="J18" s="72">
        <f t="shared" si="8"/>
        <v>71.099999999999994</v>
      </c>
      <c r="K18" s="72">
        <f t="shared" si="8"/>
        <v>71.099999999999994</v>
      </c>
      <c r="L18" s="72">
        <f t="shared" si="8"/>
        <v>71.099999999999994</v>
      </c>
      <c r="M18" s="72">
        <f t="shared" si="8"/>
        <v>71.099999999999994</v>
      </c>
      <c r="N18" s="72">
        <f t="shared" si="8"/>
        <v>71.099999999999994</v>
      </c>
      <c r="O18" s="72">
        <f t="shared" si="8"/>
        <v>71.099999999999994</v>
      </c>
      <c r="P18" s="72">
        <f t="shared" si="8"/>
        <v>71.099999999999994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285.36183941605839</v>
      </c>
      <c r="H19" s="53">
        <f>H15/(1+$C$55)^2</f>
        <v>255.5858155402525</v>
      </c>
      <c r="I19" s="53">
        <f>I15/(1+$C$55)^3</f>
        <v>264.88555617655362</v>
      </c>
      <c r="J19" s="53">
        <f>J15/(1+$C$55)^4</f>
        <v>260.53555749066237</v>
      </c>
      <c r="K19" s="53">
        <f>K15/(1+$C$55)^5</f>
        <v>277.83468186777628</v>
      </c>
      <c r="L19" s="53">
        <f>L15/(1+$C$55)^6</f>
        <v>263.63874921759788</v>
      </c>
      <c r="M19" s="53">
        <f>M15/(1+$C$55)^7</f>
        <v>248.9654246717279</v>
      </c>
      <c r="N19" s="53">
        <f>N15/(1+$C$55)^8</f>
        <v>233.97298121521871</v>
      </c>
      <c r="O19" s="53">
        <f>O15/(1+$C$55)^9</f>
        <v>217.74857740832397</v>
      </c>
      <c r="P19" s="53">
        <f>P15/(1+$C$55)^10</f>
        <v>202.64922350044748</v>
      </c>
      <c r="Q19" s="54">
        <f>(Q15/(C55-Q12))/(1+C55)^10</f>
        <v>2539.3698994191868</v>
      </c>
    </row>
    <row r="20" spans="1:18" x14ac:dyDescent="0.3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3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3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35">
      <c r="A29" s="35"/>
      <c r="B29" s="36"/>
      <c r="C29" s="36"/>
      <c r="D29" s="39"/>
      <c r="F29" s="36"/>
      <c r="G29" s="93" t="s">
        <v>35</v>
      </c>
      <c r="H29" s="6"/>
      <c r="I29" s="79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3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93"/>
      <c r="H32" s="6"/>
      <c r="I32" s="6"/>
      <c r="J32" s="26"/>
    </row>
    <row r="33" spans="1:10" x14ac:dyDescent="0.35">
      <c r="A33" s="25"/>
      <c r="G33" s="97" t="s">
        <v>34</v>
      </c>
      <c r="H33" s="98"/>
      <c r="I33" s="99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45115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7892.0999999999995</v>
      </c>
      <c r="D49" s="47">
        <f>SUM(G19:Q19)</f>
        <v>5050.5483059238059</v>
      </c>
      <c r="E49" s="46" t="s">
        <v>47</v>
      </c>
    </row>
    <row r="50" spans="1:17" x14ac:dyDescent="0.35">
      <c r="A50" s="45"/>
      <c r="B50" s="46" t="s">
        <v>11</v>
      </c>
      <c r="C50" s="56">
        <v>71.099999999999994</v>
      </c>
      <c r="D50" s="56">
        <f>C50</f>
        <v>71.099999999999994</v>
      </c>
      <c r="E50" s="46"/>
    </row>
    <row r="51" spans="1:17" x14ac:dyDescent="0.35">
      <c r="A51" s="45"/>
      <c r="B51" s="46" t="s">
        <v>13</v>
      </c>
      <c r="C51" s="87">
        <v>111</v>
      </c>
      <c r="D51" s="56">
        <f>D49/(D50)</f>
        <v>71.034434682472664</v>
      </c>
      <c r="E51" s="46" t="s">
        <v>47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0.5626224168063747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4174313.7595325578</v>
      </c>
      <c r="E57" s="46"/>
      <c r="F57" s="1" t="s">
        <v>23</v>
      </c>
      <c r="H57" s="1">
        <f>G15/(1+$B$57)</f>
        <v>282.2712779783393</v>
      </c>
      <c r="I57" s="1">
        <f>H15/(1+$B$57)^2</f>
        <v>250.07963986888916</v>
      </c>
      <c r="J57" s="1">
        <f>I15/(1+$B$57)^3</f>
        <v>256.37203976553411</v>
      </c>
      <c r="K57" s="1">
        <f>J15/(1+$B$57)^4</f>
        <v>249.43085680894907</v>
      </c>
      <c r="L57" s="1">
        <f>K15/(1+$B$57)^5</f>
        <v>263.1118608736503</v>
      </c>
      <c r="M57" s="1">
        <f>L15/(1+$B$57)^6</f>
        <v>246.96420154205441</v>
      </c>
      <c r="N57" s="1">
        <f>M15/(1+$B$57)^7</f>
        <v>230.69309440074574</v>
      </c>
      <c r="O57" s="1">
        <f>N15/(1+$B$57)^8</f>
        <v>214.45296681657766</v>
      </c>
      <c r="P57" s="1">
        <f>O15/(1+$B$57)^9</f>
        <v>197.42060122103717</v>
      </c>
      <c r="Q57" s="1">
        <f>(Q15/(B57-Q12))/(1+B57)^10</f>
        <v>1983.5172202567812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42</v>
      </c>
      <c r="B59" s="23"/>
      <c r="C59" s="67">
        <v>16</v>
      </c>
      <c r="D59" s="23"/>
      <c r="E59" s="24"/>
    </row>
    <row r="60" spans="1:17" x14ac:dyDescent="0.35">
      <c r="A60" s="25" t="s">
        <v>21</v>
      </c>
      <c r="C60" s="68"/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114.05146478754664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0.4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23.654256068685903</v>
      </c>
    </row>
    <row r="67" spans="1:5" x14ac:dyDescent="0.35">
      <c r="A67" s="25"/>
      <c r="E67" s="61"/>
    </row>
    <row r="68" spans="1:5" x14ac:dyDescent="0.35">
      <c r="A68" s="103" t="s">
        <v>48</v>
      </c>
      <c r="E68" s="104">
        <f>(E66*0.25)*-1</f>
        <v>-5.9135640171714758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43</v>
      </c>
      <c r="E70" s="60">
        <f>SUM(E62:E68)</f>
        <v>131.79215683906108</v>
      </c>
    </row>
    <row r="71" spans="1:5" x14ac:dyDescent="0.35">
      <c r="A71" s="25"/>
      <c r="E71" s="60"/>
    </row>
    <row r="72" spans="1:5" x14ac:dyDescent="0.35">
      <c r="A72" s="25" t="s">
        <v>44</v>
      </c>
      <c r="E72" s="62">
        <f>E70/C51-1</f>
        <v>0.18731672827982959</v>
      </c>
    </row>
    <row r="73" spans="1:5" x14ac:dyDescent="0.35">
      <c r="A73" s="25"/>
      <c r="E73" s="26"/>
    </row>
    <row r="74" spans="1:5" ht="16" thickBot="1" x14ac:dyDescent="0.4">
      <c r="A74" s="63" t="s">
        <v>45</v>
      </c>
      <c r="B74" s="64"/>
      <c r="C74" s="64"/>
      <c r="D74" s="64"/>
      <c r="E74" s="102">
        <f>(E70/C51)^(1/10)-1</f>
        <v>1.7317835740738197E-2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45" zoomScaleNormal="100" workbookViewId="0">
      <selection activeCell="C60" sqref="C60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46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2">
        <v>2242.3000000000002</v>
      </c>
      <c r="D11" s="82">
        <v>2209.6</v>
      </c>
      <c r="E11" s="82">
        <v>2551.3000000000002</v>
      </c>
      <c r="F11" s="82">
        <v>3616</v>
      </c>
      <c r="G11" s="72">
        <v>3599.04</v>
      </c>
      <c r="H11" s="72">
        <v>3739.51</v>
      </c>
      <c r="I11" s="72">
        <v>4122.1099999999997</v>
      </c>
      <c r="J11" s="72">
        <v>4523.8500000000004</v>
      </c>
      <c r="K11" s="72">
        <f t="shared" ref="K11" si="0">J11*(1+K12)</f>
        <v>5021.473500000001</v>
      </c>
      <c r="L11" s="72">
        <f t="shared" ref="L11:Q11" si="1">K11*(1+L12)</f>
        <v>5473.4061150000016</v>
      </c>
      <c r="M11" s="72">
        <f t="shared" si="1"/>
        <v>5856.5445430500022</v>
      </c>
      <c r="N11" s="72">
        <f t="shared" si="1"/>
        <v>6178.6544929177517</v>
      </c>
      <c r="O11" s="72">
        <f t="shared" si="1"/>
        <v>6425.800672634462</v>
      </c>
      <c r="P11" s="72">
        <f t="shared" si="1"/>
        <v>6618.5746928134959</v>
      </c>
      <c r="Q11" s="72">
        <f t="shared" si="1"/>
        <v>6750.9461866697657</v>
      </c>
    </row>
    <row r="12" spans="1:28" x14ac:dyDescent="0.35">
      <c r="A12" s="5"/>
      <c r="B12" s="4" t="s">
        <v>1</v>
      </c>
      <c r="C12" s="89"/>
      <c r="D12" s="89">
        <f t="shared" ref="D12:J12" si="2">D11/C11-1</f>
        <v>-1.4583240422780253E-2</v>
      </c>
      <c r="E12" s="89">
        <f t="shared" si="2"/>
        <v>0.1546433743664013</v>
      </c>
      <c r="F12" s="89">
        <f t="shared" si="2"/>
        <v>0.41731666209383445</v>
      </c>
      <c r="G12" s="85">
        <f t="shared" si="2"/>
        <v>-4.6902654867256866E-3</v>
      </c>
      <c r="H12" s="85">
        <f t="shared" si="2"/>
        <v>3.902985240508583E-2</v>
      </c>
      <c r="I12" s="85">
        <f t="shared" si="2"/>
        <v>0.10231286986797716</v>
      </c>
      <c r="J12" s="85">
        <f t="shared" si="2"/>
        <v>9.7459796075311189E-2</v>
      </c>
      <c r="K12" s="85">
        <v>0.11</v>
      </c>
      <c r="L12" s="71">
        <v>0.09</v>
      </c>
      <c r="M12" s="71">
        <v>7.0000000000000007E-2</v>
      </c>
      <c r="N12" s="71">
        <v>5.5E-2</v>
      </c>
      <c r="O12" s="71">
        <v>0.04</v>
      </c>
      <c r="P12" s="71">
        <v>0.03</v>
      </c>
      <c r="Q12" s="12">
        <v>0.02</v>
      </c>
    </row>
    <row r="13" spans="1:28" ht="16" customHeight="1" x14ac:dyDescent="0.35">
      <c r="A13" s="5"/>
      <c r="B13" s="4" t="s">
        <v>15</v>
      </c>
      <c r="C13" s="88">
        <v>0.28060000000000002</v>
      </c>
      <c r="D13" s="88">
        <v>0.17380000000000001</v>
      </c>
      <c r="E13" s="88">
        <v>0.1106</v>
      </c>
      <c r="F13" s="88">
        <v>5.1400000000000001E-2</v>
      </c>
      <c r="G13" s="84">
        <v>0.18540000000000001</v>
      </c>
      <c r="H13" s="84">
        <v>0.1847</v>
      </c>
      <c r="I13" s="84">
        <v>0.19289999999999999</v>
      </c>
      <c r="J13" s="84">
        <v>0.1852</v>
      </c>
      <c r="K13" s="84">
        <v>0.19</v>
      </c>
      <c r="L13" s="84">
        <v>0.19500000000000001</v>
      </c>
      <c r="M13" s="84">
        <v>0.2</v>
      </c>
      <c r="N13" s="84">
        <v>0.21</v>
      </c>
      <c r="O13" s="84">
        <v>0.22</v>
      </c>
      <c r="P13" s="84">
        <v>0.23</v>
      </c>
      <c r="Q13" s="84">
        <v>0.23</v>
      </c>
    </row>
    <row r="14" spans="1:28" ht="17.149999999999999" customHeight="1" x14ac:dyDescent="0.35">
      <c r="A14" s="5"/>
      <c r="B14" s="4" t="s">
        <v>16</v>
      </c>
      <c r="C14" s="82">
        <f>C11*C13</f>
        <v>629.18938000000014</v>
      </c>
      <c r="D14" s="82">
        <f t="shared" ref="D14:J14" si="3">D11*D13</f>
        <v>384.02848</v>
      </c>
      <c r="E14" s="82">
        <f t="shared" si="3"/>
        <v>282.17378000000002</v>
      </c>
      <c r="F14" s="82">
        <f t="shared" si="3"/>
        <v>185.86240000000001</v>
      </c>
      <c r="G14" s="72">
        <f t="shared" si="3"/>
        <v>667.26201600000002</v>
      </c>
      <c r="H14" s="72">
        <f t="shared" si="3"/>
        <v>690.68749700000001</v>
      </c>
      <c r="I14" s="72">
        <f t="shared" si="3"/>
        <v>795.15501899999992</v>
      </c>
      <c r="J14" s="72">
        <f t="shared" si="3"/>
        <v>837.81702000000007</v>
      </c>
      <c r="K14" s="72">
        <f t="shared" ref="K14:Q14" si="4">K11*K13</f>
        <v>954.07996500000024</v>
      </c>
      <c r="L14" s="72">
        <f t="shared" si="4"/>
        <v>1067.3141924250003</v>
      </c>
      <c r="M14" s="72">
        <f t="shared" si="4"/>
        <v>1171.3089086100006</v>
      </c>
      <c r="N14" s="72">
        <f t="shared" si="4"/>
        <v>1297.5174435127278</v>
      </c>
      <c r="O14" s="72">
        <f>O11*O13</f>
        <v>1413.6761479795816</v>
      </c>
      <c r="P14" s="72">
        <f t="shared" si="4"/>
        <v>1522.2721793471042</v>
      </c>
      <c r="Q14" s="72">
        <f t="shared" si="4"/>
        <v>1552.7176229340462</v>
      </c>
    </row>
    <row r="15" spans="1:28" x14ac:dyDescent="0.35">
      <c r="A15" s="100">
        <v>0.4</v>
      </c>
      <c r="B15" s="4" t="s">
        <v>39</v>
      </c>
      <c r="C15" s="82">
        <v>254.27682000000001</v>
      </c>
      <c r="D15" s="82">
        <v>250.12671999999998</v>
      </c>
      <c r="E15" s="82">
        <v>275.79553000000004</v>
      </c>
      <c r="F15" s="82">
        <v>341.71199999999999</v>
      </c>
      <c r="G15" s="72">
        <v>312.756576</v>
      </c>
      <c r="H15" s="72">
        <v>307.01377100000002</v>
      </c>
      <c r="I15" s="72">
        <v>348.73050599999993</v>
      </c>
      <c r="J15" s="72">
        <v>375.93193500000001</v>
      </c>
      <c r="K15" s="72">
        <f t="shared" ref="K15:Q15" si="5">K14*(1-$A$15)</f>
        <v>572.44797900000015</v>
      </c>
      <c r="L15" s="72">
        <f t="shared" si="5"/>
        <v>640.38851545500017</v>
      </c>
      <c r="M15" s="72">
        <f t="shared" si="5"/>
        <v>702.7853451660003</v>
      </c>
      <c r="N15" s="72">
        <f t="shared" si="5"/>
        <v>778.51046610763672</v>
      </c>
      <c r="O15" s="72">
        <f>O14*(1-$A$15)</f>
        <v>848.20568878774895</v>
      </c>
      <c r="P15" s="72">
        <f t="shared" si="5"/>
        <v>913.36330760826252</v>
      </c>
      <c r="Q15" s="72">
        <f t="shared" si="5"/>
        <v>931.63057376042764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0.40413399857448318</v>
      </c>
      <c r="D16" s="15">
        <f t="shared" si="6"/>
        <v>0.65132336018411963</v>
      </c>
      <c r="E16" s="15">
        <f t="shared" si="6"/>
        <v>0.97739602169981921</v>
      </c>
      <c r="F16" s="15">
        <f t="shared" si="6"/>
        <v>1.83852140077821</v>
      </c>
      <c r="G16" s="15">
        <f t="shared" si="6"/>
        <v>0.46871628910463858</v>
      </c>
      <c r="H16" s="15">
        <f t="shared" si="6"/>
        <v>0.4445046020573904</v>
      </c>
      <c r="I16" s="15">
        <f t="shared" si="6"/>
        <v>0.43856920684292378</v>
      </c>
      <c r="J16" s="15">
        <f t="shared" si="6"/>
        <v>0.44870410367170621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4.3988266666666673</v>
      </c>
      <c r="H17" s="72">
        <f>H15/H18</f>
        <v>4.318055850914206</v>
      </c>
      <c r="I17" s="72">
        <f t="shared" ref="I17:O17" si="7">I15/I18</f>
        <v>4.9047891139240498</v>
      </c>
      <c r="J17" s="72">
        <f>J15/J18</f>
        <v>5.2873689873417726</v>
      </c>
      <c r="K17" s="72">
        <f t="shared" si="7"/>
        <v>8.0513077215189899</v>
      </c>
      <c r="L17" s="72">
        <f t="shared" si="7"/>
        <v>9.0068708221519014</v>
      </c>
      <c r="M17" s="72">
        <f t="shared" si="7"/>
        <v>9.8844633637974741</v>
      </c>
      <c r="N17" s="72">
        <f t="shared" si="7"/>
        <v>10.949514291246649</v>
      </c>
      <c r="O17" s="72">
        <f t="shared" si="7"/>
        <v>11.929756523034445</v>
      </c>
      <c r="P17" s="72">
        <f>P15/P18</f>
        <v>12.846178728667548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71.099999999999994</v>
      </c>
      <c r="H18" s="72">
        <f>G18*1</f>
        <v>71.099999999999994</v>
      </c>
      <c r="I18" s="72">
        <f t="shared" ref="I18:P18" si="8">H18*1</f>
        <v>71.099999999999994</v>
      </c>
      <c r="J18" s="72">
        <f t="shared" si="8"/>
        <v>71.099999999999994</v>
      </c>
      <c r="K18" s="72">
        <f t="shared" si="8"/>
        <v>71.099999999999994</v>
      </c>
      <c r="L18" s="72">
        <f t="shared" si="8"/>
        <v>71.099999999999994</v>
      </c>
      <c r="M18" s="72">
        <f t="shared" si="8"/>
        <v>71.099999999999994</v>
      </c>
      <c r="N18" s="72">
        <f t="shared" si="8"/>
        <v>71.099999999999994</v>
      </c>
      <c r="O18" s="72">
        <f t="shared" si="8"/>
        <v>71.099999999999994</v>
      </c>
      <c r="P18" s="72">
        <f t="shared" si="8"/>
        <v>71.099999999999994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285.36183941605839</v>
      </c>
      <c r="H19" s="53">
        <f>H15/(1+$C$55)^2</f>
        <v>255.5858155402525</v>
      </c>
      <c r="I19" s="53">
        <f>I15/(1+$C$55)^3</f>
        <v>264.88555617655362</v>
      </c>
      <c r="J19" s="53">
        <f>J15/(1+$C$55)^4</f>
        <v>260.53555749066237</v>
      </c>
      <c r="K19" s="53">
        <f>K15/(1+$C$55)^5</f>
        <v>361.97889980487429</v>
      </c>
      <c r="L19" s="53">
        <f>L15/(1+$C$55)^6</f>
        <v>369.47087568923371</v>
      </c>
      <c r="M19" s="53">
        <f>M15/(1+$C$55)^7</f>
        <v>369.9549288671908</v>
      </c>
      <c r="N19" s="53">
        <f>N15/(1+$C$55)^8</f>
        <v>373.92114274875041</v>
      </c>
      <c r="O19" s="53">
        <f>O15/(1+$C$55)^9</f>
        <v>371.71166780028716</v>
      </c>
      <c r="P19" s="53">
        <f>P15/(1+$C$55)^10</f>
        <v>365.20609697199745</v>
      </c>
      <c r="Q19" s="54">
        <f>(Q15/(C55-Q12))/(1+C55)^10</f>
        <v>4901.4502488347007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45115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7892.0999999999995</v>
      </c>
      <c r="D49" s="47">
        <f>SUM(G19:Q19)</f>
        <v>8180.0626293405612</v>
      </c>
      <c r="E49" s="46" t="s">
        <v>47</v>
      </c>
    </row>
    <row r="50" spans="1:17" x14ac:dyDescent="0.35">
      <c r="A50" s="45"/>
      <c r="B50" s="46" t="s">
        <v>11</v>
      </c>
      <c r="C50" s="56">
        <v>71.099999999999994</v>
      </c>
      <c r="D50" s="56">
        <f>C50</f>
        <v>71.099999999999994</v>
      </c>
      <c r="E50" s="46"/>
    </row>
    <row r="51" spans="1:17" x14ac:dyDescent="0.35">
      <c r="A51" s="45"/>
      <c r="B51" s="46" t="s">
        <v>13</v>
      </c>
      <c r="C51" s="87">
        <v>111</v>
      </c>
      <c r="D51" s="56">
        <f>D49/(D50)</f>
        <v>115.05010730436796</v>
      </c>
      <c r="E51" s="46" t="s">
        <v>47</v>
      </c>
    </row>
    <row r="52" spans="1:17" x14ac:dyDescent="0.35">
      <c r="A52" s="45"/>
      <c r="B52" s="46" t="s">
        <v>2</v>
      </c>
      <c r="C52" s="46"/>
      <c r="D52" s="57">
        <f>IF(C51/D51-1&gt;0,0,C51/D51-1)*-1</f>
        <v>3.5202985892514582E-2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6545917.9959678063</v>
      </c>
      <c r="E57" s="46"/>
      <c r="F57" s="1" t="s">
        <v>23</v>
      </c>
      <c r="H57" s="1">
        <f>G15/(1+$B$57)</f>
        <v>282.2712779783393</v>
      </c>
      <c r="I57" s="1">
        <f>H15/(1+$B$57)^2</f>
        <v>250.07963986888916</v>
      </c>
      <c r="J57" s="1">
        <f>I15/(1+$B$57)^3</f>
        <v>256.37203976553411</v>
      </c>
      <c r="K57" s="1">
        <f>J15/(1+$B$57)^4</f>
        <v>249.43085680894907</v>
      </c>
      <c r="L57" s="1">
        <f>K15/(1+$B$57)^5</f>
        <v>342.79716730967016</v>
      </c>
      <c r="M57" s="1">
        <f>L15/(1+$B$57)^6</f>
        <v>346.10268816107919</v>
      </c>
      <c r="N57" s="1">
        <f>M15/(1+$B$57)^7</f>
        <v>342.80281063811418</v>
      </c>
      <c r="O57" s="1">
        <f>N15/(1+$B$57)^8</f>
        <v>342.72546343354765</v>
      </c>
      <c r="P57" s="1">
        <f>O15/(1+$B$57)^9</f>
        <v>337.01042648098542</v>
      </c>
      <c r="Q57" s="1">
        <f>(Q15/(B57-Q12))/(1+B57)^10</f>
        <v>3796.3256255226988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42</v>
      </c>
      <c r="B59" s="23"/>
      <c r="C59" s="67">
        <v>24</v>
      </c>
      <c r="D59" s="23"/>
      <c r="E59" s="24"/>
    </row>
    <row r="60" spans="1:17" x14ac:dyDescent="0.35">
      <c r="A60" s="25" t="s">
        <v>21</v>
      </c>
      <c r="C60" s="68" t="s">
        <v>40</v>
      </c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308.30828948802116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0.5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40.788566034631856</v>
      </c>
    </row>
    <row r="67" spans="1:5" x14ac:dyDescent="0.35">
      <c r="A67" s="25"/>
      <c r="E67" s="61"/>
    </row>
    <row r="68" spans="1:5" x14ac:dyDescent="0.35">
      <c r="A68" s="103" t="s">
        <v>48</v>
      </c>
      <c r="E68" s="104">
        <f>(E66*0.25)*-1</f>
        <v>-10.197141508657964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43</v>
      </c>
      <c r="E70" s="60">
        <f>SUM(E62:E68)</f>
        <v>338.89971401399504</v>
      </c>
    </row>
    <row r="71" spans="1:5" x14ac:dyDescent="0.35">
      <c r="A71" s="25"/>
      <c r="E71" s="60"/>
    </row>
    <row r="72" spans="1:5" x14ac:dyDescent="0.35">
      <c r="A72" s="25" t="s">
        <v>44</v>
      </c>
      <c r="E72" s="62">
        <f>E70/C51-1</f>
        <v>2.0531505767026581</v>
      </c>
    </row>
    <row r="73" spans="1:5" x14ac:dyDescent="0.35">
      <c r="A73" s="25"/>
      <c r="E73" s="26"/>
    </row>
    <row r="74" spans="1:5" ht="16" thickBot="1" x14ac:dyDescent="0.4">
      <c r="A74" s="63" t="s">
        <v>45</v>
      </c>
      <c r="B74" s="64"/>
      <c r="C74" s="64"/>
      <c r="D74" s="64"/>
      <c r="E74" s="102">
        <f>(E70/C51)^(1/10)-1</f>
        <v>0.11808500321792348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L2:L5">
    <cfRule type="top10" dxfId="6" priority="3" percent="1" rank="10"/>
  </conditionalFormatting>
  <conditionalFormatting sqref="L6:L8">
    <cfRule type="top10" dxfId="5" priority="6" percent="1" rank="10"/>
  </conditionalFormatting>
  <conditionalFormatting sqref="L9">
    <cfRule type="top10" dxfId="4" priority="4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zoomScaleNormal="100" workbookViewId="0">
      <selection activeCell="P13" sqref="P13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46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2">
        <v>2242.3000000000002</v>
      </c>
      <c r="D11" s="82">
        <v>2209.6</v>
      </c>
      <c r="E11" s="82">
        <v>2551.3000000000002</v>
      </c>
      <c r="F11" s="82">
        <v>3616</v>
      </c>
      <c r="G11" s="72">
        <f t="shared" ref="G11" si="0">F11*(1+G12)</f>
        <v>3832.96</v>
      </c>
      <c r="H11" s="72">
        <f t="shared" ref="H11" si="1">G11*(1+H12)</f>
        <v>4062.9376000000002</v>
      </c>
      <c r="I11" s="72">
        <f t="shared" ref="I11" si="2">H11*(1+I12)</f>
        <v>4306.7138560000003</v>
      </c>
      <c r="J11" s="72">
        <f t="shared" ref="J11" si="3">I11*(1+J12)</f>
        <v>4565.1166873600005</v>
      </c>
      <c r="K11" s="72">
        <f t="shared" ref="K11" si="4">J11*(1+K12)</f>
        <v>4839.023688601601</v>
      </c>
      <c r="L11" s="72">
        <f t="shared" ref="L11" si="5">K11*(1+L12)</f>
        <v>5129.3651099176968</v>
      </c>
      <c r="M11" s="72">
        <f t="shared" ref="M11:Q11" si="6">L11*(1+M12)</f>
        <v>5437.1270165127589</v>
      </c>
      <c r="N11" s="72">
        <f t="shared" si="6"/>
        <v>5763.3546375035248</v>
      </c>
      <c r="O11" s="72">
        <f t="shared" si="6"/>
        <v>6109.1559157537367</v>
      </c>
      <c r="P11" s="72">
        <f t="shared" si="6"/>
        <v>6353.5221523838864</v>
      </c>
      <c r="Q11" s="72">
        <f t="shared" si="6"/>
        <v>6480.5925954315644</v>
      </c>
    </row>
    <row r="12" spans="1:28" x14ac:dyDescent="0.35">
      <c r="A12" s="5"/>
      <c r="B12" s="4" t="s">
        <v>1</v>
      </c>
      <c r="C12" s="86"/>
      <c r="D12" s="89">
        <f t="shared" ref="D12:F12" si="7">D11/C11-1</f>
        <v>-1.4583240422780253E-2</v>
      </c>
      <c r="E12" s="89">
        <f t="shared" si="7"/>
        <v>0.1546433743664013</v>
      </c>
      <c r="F12" s="89">
        <f t="shared" si="7"/>
        <v>0.41731666209383445</v>
      </c>
      <c r="G12" s="85">
        <v>0.06</v>
      </c>
      <c r="H12" s="85">
        <f>G12</f>
        <v>0.06</v>
      </c>
      <c r="I12" s="85">
        <f t="shared" ref="I12:O12" si="8">H12</f>
        <v>0.06</v>
      </c>
      <c r="J12" s="85">
        <f t="shared" si="8"/>
        <v>0.06</v>
      </c>
      <c r="K12" s="85">
        <f t="shared" si="8"/>
        <v>0.06</v>
      </c>
      <c r="L12" s="85">
        <f t="shared" si="8"/>
        <v>0.06</v>
      </c>
      <c r="M12" s="85">
        <f t="shared" si="8"/>
        <v>0.06</v>
      </c>
      <c r="N12" s="85">
        <f t="shared" si="8"/>
        <v>0.06</v>
      </c>
      <c r="O12" s="85">
        <f t="shared" si="8"/>
        <v>0.06</v>
      </c>
      <c r="P12" s="85">
        <v>0.04</v>
      </c>
      <c r="Q12" s="85">
        <v>0.02</v>
      </c>
    </row>
    <row r="13" spans="1:28" ht="16" customHeight="1" x14ac:dyDescent="0.35">
      <c r="A13" s="5"/>
      <c r="B13" s="4" t="s">
        <v>15</v>
      </c>
      <c r="C13" s="88">
        <v>0.28060000000000002</v>
      </c>
      <c r="D13" s="88">
        <v>0.17380000000000001</v>
      </c>
      <c r="E13" s="88">
        <v>0.1106</v>
      </c>
      <c r="F13" s="88">
        <v>5.1400000000000001E-2</v>
      </c>
      <c r="G13" s="84">
        <v>0.18540000000000001</v>
      </c>
      <c r="H13" s="84">
        <v>0.1847</v>
      </c>
      <c r="I13" s="84">
        <v>0.19289999999999999</v>
      </c>
      <c r="J13" s="84">
        <v>0.1852</v>
      </c>
      <c r="K13" s="84">
        <v>0.19</v>
      </c>
      <c r="L13" s="84">
        <v>0.19500000000000001</v>
      </c>
      <c r="M13" s="84">
        <v>0.2</v>
      </c>
      <c r="N13" s="84">
        <v>0.21</v>
      </c>
      <c r="O13" s="84">
        <v>0.22</v>
      </c>
      <c r="P13" s="84">
        <v>0.23</v>
      </c>
      <c r="Q13" s="84">
        <v>0.23</v>
      </c>
    </row>
    <row r="14" spans="1:28" ht="17.149999999999999" customHeight="1" x14ac:dyDescent="0.35">
      <c r="A14" s="5"/>
      <c r="B14" s="4" t="s">
        <v>16</v>
      </c>
      <c r="C14" s="82">
        <f>C11*C13</f>
        <v>629.18938000000014</v>
      </c>
      <c r="D14" s="82">
        <f t="shared" ref="D14:Q14" si="9">D11*D13</f>
        <v>384.02848</v>
      </c>
      <c r="E14" s="82">
        <f t="shared" si="9"/>
        <v>282.17378000000002</v>
      </c>
      <c r="F14" s="82">
        <f t="shared" si="9"/>
        <v>185.86240000000001</v>
      </c>
      <c r="G14" s="72">
        <f t="shared" si="9"/>
        <v>710.63078400000006</v>
      </c>
      <c r="H14" s="72">
        <f t="shared" si="9"/>
        <v>750.42457472000001</v>
      </c>
      <c r="I14" s="72">
        <f t="shared" si="9"/>
        <v>830.76510282239997</v>
      </c>
      <c r="J14" s="72">
        <f t="shared" si="9"/>
        <v>845.45961049907214</v>
      </c>
      <c r="K14" s="72">
        <f t="shared" si="9"/>
        <v>919.41450083430414</v>
      </c>
      <c r="L14" s="72">
        <f t="shared" si="9"/>
        <v>1000.2261964339509</v>
      </c>
      <c r="M14" s="72">
        <f t="shared" si="9"/>
        <v>1087.4254033025518</v>
      </c>
      <c r="N14" s="72">
        <f t="shared" si="9"/>
        <v>1210.3044738757401</v>
      </c>
      <c r="O14" s="72">
        <f>O11*O13</f>
        <v>1344.0143014658222</v>
      </c>
      <c r="P14" s="72">
        <f t="shared" si="9"/>
        <v>1461.310095048294</v>
      </c>
      <c r="Q14" s="72">
        <f t="shared" si="9"/>
        <v>1490.5362969492598</v>
      </c>
    </row>
    <row r="15" spans="1:28" x14ac:dyDescent="0.35">
      <c r="A15" s="100">
        <v>0.4</v>
      </c>
      <c r="B15" s="4" t="s">
        <v>39</v>
      </c>
      <c r="C15" s="82">
        <v>254.27682000000001</v>
      </c>
      <c r="D15" s="82">
        <v>250.12671999999998</v>
      </c>
      <c r="E15" s="82">
        <v>275.79553000000004</v>
      </c>
      <c r="F15" s="82">
        <v>341.71199999999999</v>
      </c>
      <c r="G15" s="72">
        <v>312.756576</v>
      </c>
      <c r="H15" s="72">
        <v>307.01377100000002</v>
      </c>
      <c r="I15" s="72">
        <v>348.73050599999993</v>
      </c>
      <c r="J15" s="72">
        <v>375.93193500000001</v>
      </c>
      <c r="K15" s="72">
        <f t="shared" ref="K15:Q15" si="10">K14*(1-$A$15)</f>
        <v>551.64870050058244</v>
      </c>
      <c r="L15" s="72">
        <f t="shared" si="10"/>
        <v>600.13571786037051</v>
      </c>
      <c r="M15" s="72">
        <f t="shared" si="10"/>
        <v>652.455241981531</v>
      </c>
      <c r="N15" s="72">
        <f t="shared" si="10"/>
        <v>726.18268432544403</v>
      </c>
      <c r="O15" s="72">
        <f>O14*(1-$A$15)</f>
        <v>806.40858087949334</v>
      </c>
      <c r="P15" s="72">
        <f t="shared" si="10"/>
        <v>876.78605702897642</v>
      </c>
      <c r="Q15" s="72">
        <f t="shared" si="10"/>
        <v>894.32177816955584</v>
      </c>
    </row>
    <row r="16" spans="1:28" ht="31.5" hidden="1" thickBot="1" x14ac:dyDescent="0.4">
      <c r="A16" s="13" t="s">
        <v>6</v>
      </c>
      <c r="B16" s="14"/>
      <c r="C16" s="15">
        <f t="shared" ref="C16:J16" si="11">C15/C14</f>
        <v>0.40413399857448318</v>
      </c>
      <c r="D16" s="15">
        <f t="shared" si="11"/>
        <v>0.65132336018411963</v>
      </c>
      <c r="E16" s="15">
        <f t="shared" si="11"/>
        <v>0.97739602169981921</v>
      </c>
      <c r="F16" s="15">
        <f t="shared" si="11"/>
        <v>1.83852140077821</v>
      </c>
      <c r="G16" s="15">
        <f t="shared" si="11"/>
        <v>0.44011121251960844</v>
      </c>
      <c r="H16" s="15">
        <f t="shared" si="11"/>
        <v>0.40912009193536025</v>
      </c>
      <c r="I16" s="15">
        <f t="shared" si="11"/>
        <v>0.4197702874317184</v>
      </c>
      <c r="J16" s="15">
        <f t="shared" si="11"/>
        <v>0.44464801195894926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4.3988266666666673</v>
      </c>
      <c r="H17" s="72">
        <f t="shared" ref="H17:O17" si="12">H15/H18</f>
        <v>4.318055850914206</v>
      </c>
      <c r="I17" s="72">
        <f t="shared" si="12"/>
        <v>4.9047891139240498</v>
      </c>
      <c r="J17" s="72">
        <f t="shared" si="12"/>
        <v>5.2873689873417726</v>
      </c>
      <c r="K17" s="72">
        <f t="shared" si="12"/>
        <v>7.7587721589392755</v>
      </c>
      <c r="L17" s="72">
        <f t="shared" si="12"/>
        <v>8.4407273960670963</v>
      </c>
      <c r="M17" s="72">
        <f t="shared" si="12"/>
        <v>9.1765856818780733</v>
      </c>
      <c r="N17" s="72">
        <f t="shared" si="12"/>
        <v>10.213539863930297</v>
      </c>
      <c r="O17" s="72">
        <f t="shared" si="12"/>
        <v>11.341892839374028</v>
      </c>
      <c r="P17" s="72">
        <f>P15/P18</f>
        <v>12.331730759901216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71.099999999999994</v>
      </c>
      <c r="H18" s="72">
        <f>G18*1</f>
        <v>71.099999999999994</v>
      </c>
      <c r="I18" s="72">
        <f t="shared" ref="I18:P18" si="13">H18*1</f>
        <v>71.099999999999994</v>
      </c>
      <c r="J18" s="72">
        <f t="shared" si="13"/>
        <v>71.099999999999994</v>
      </c>
      <c r="K18" s="72">
        <f t="shared" si="13"/>
        <v>71.099999999999994</v>
      </c>
      <c r="L18" s="72">
        <f t="shared" si="13"/>
        <v>71.099999999999994</v>
      </c>
      <c r="M18" s="72">
        <f t="shared" si="13"/>
        <v>71.099999999999994</v>
      </c>
      <c r="N18" s="72">
        <f t="shared" si="13"/>
        <v>71.099999999999994</v>
      </c>
      <c r="O18" s="72">
        <f t="shared" si="13"/>
        <v>71.099999999999994</v>
      </c>
      <c r="P18" s="72">
        <f t="shared" si="13"/>
        <v>71.099999999999994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285.36183941605839</v>
      </c>
      <c r="H19" s="53">
        <f>H15/(1+$C$55)^2</f>
        <v>255.5858155402525</v>
      </c>
      <c r="I19" s="53">
        <f>I15/(1+$C$55)^3</f>
        <v>264.88555617655362</v>
      </c>
      <c r="J19" s="53">
        <f>J15/(1+$C$55)^4</f>
        <v>260.53555749066237</v>
      </c>
      <c r="K19" s="53">
        <f>K15/(1+$C$55)^5</f>
        <v>348.82678778046551</v>
      </c>
      <c r="L19" s="53">
        <f>L15/(1+$C$55)^6</f>
        <v>346.24710446706791</v>
      </c>
      <c r="M19" s="53">
        <f>M15/(1+$C$55)^7</f>
        <v>343.46053783931495</v>
      </c>
      <c r="N19" s="53">
        <f>N15/(1+$C$55)^8</f>
        <v>348.7879366926619</v>
      </c>
      <c r="O19" s="53">
        <f>O15/(1+$C$55)^9</f>
        <v>353.39479856069158</v>
      </c>
      <c r="P19" s="53">
        <f>P15/(1+$C$55)^10</f>
        <v>350.58077229478027</v>
      </c>
      <c r="Q19" s="54">
        <f>(Q15/(C55-Q12))/(1+C55)^10</f>
        <v>4705.1629965878392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45115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7892.0999999999995</v>
      </c>
      <c r="D49" s="47">
        <f>SUM(G19:Q19)</f>
        <v>7862.8297028463476</v>
      </c>
      <c r="E49" s="46" t="s">
        <v>47</v>
      </c>
    </row>
    <row r="50" spans="1:17" x14ac:dyDescent="0.35">
      <c r="A50" s="45"/>
      <c r="B50" s="46" t="s">
        <v>11</v>
      </c>
      <c r="C50" s="56">
        <v>71.099999999999994</v>
      </c>
      <c r="D50" s="56">
        <f>C50</f>
        <v>71.099999999999994</v>
      </c>
      <c r="E50" s="46"/>
    </row>
    <row r="51" spans="1:17" x14ac:dyDescent="0.35">
      <c r="A51" s="45"/>
      <c r="B51" s="46" t="s">
        <v>13</v>
      </c>
      <c r="C51" s="87">
        <v>111</v>
      </c>
      <c r="D51" s="87">
        <f>D49/(D50)</f>
        <v>110.58832212160827</v>
      </c>
      <c r="E51" s="46" t="s">
        <v>47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3.7226161903336497E-3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6295484.1698131552</v>
      </c>
      <c r="E57" s="46"/>
      <c r="F57" s="1" t="s">
        <v>23</v>
      </c>
      <c r="H57" s="1">
        <f>G15/(1+$B$57)</f>
        <v>282.2712779783393</v>
      </c>
      <c r="I57" s="1">
        <f>H15/(1+$B$57)^2</f>
        <v>250.07963986888916</v>
      </c>
      <c r="J57" s="1">
        <f>I15/(1+$B$57)^3</f>
        <v>256.37203976553411</v>
      </c>
      <c r="K57" s="1">
        <f>J15/(1+$B$57)^4</f>
        <v>249.43085680894907</v>
      </c>
      <c r="L57" s="1">
        <f>K15/(1+$B$57)^5</f>
        <v>330.34200279997884</v>
      </c>
      <c r="M57" s="1">
        <f>L15/(1+$B$57)^6</f>
        <v>324.34776733210919</v>
      </c>
      <c r="N57" s="1">
        <f>M15/(1+$B$57)^7</f>
        <v>318.25292360643869</v>
      </c>
      <c r="O57" s="1">
        <f>N15/(1+$B$57)^8</f>
        <v>319.68908300899471</v>
      </c>
      <c r="P57" s="1">
        <f>O15/(1+$B$57)^9</f>
        <v>320.40353342658409</v>
      </c>
      <c r="Q57" s="1">
        <f>(Q15/(B57-Q12))/(1+B57)^10</f>
        <v>3644.2950452173377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42</v>
      </c>
      <c r="B59" s="23"/>
      <c r="C59" s="67">
        <v>21</v>
      </c>
      <c r="D59" s="23"/>
      <c r="E59" s="24"/>
    </row>
    <row r="60" spans="1:17" x14ac:dyDescent="0.35">
      <c r="A60" s="25" t="s">
        <v>21</v>
      </c>
      <c r="C60" s="68"/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258.96634595792551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0.5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39.086144659468346</v>
      </c>
    </row>
    <row r="67" spans="1:5" x14ac:dyDescent="0.35">
      <c r="A67" s="25"/>
      <c r="E67" s="61"/>
    </row>
    <row r="68" spans="1:5" x14ac:dyDescent="0.35">
      <c r="A68" s="103" t="s">
        <v>48</v>
      </c>
      <c r="E68" s="104">
        <f>(E66*0.25)*-1</f>
        <v>-9.7715361648670864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43</v>
      </c>
      <c r="E70" s="60">
        <f>SUM(E62:E68)</f>
        <v>288.28095445252677</v>
      </c>
    </row>
    <row r="71" spans="1:5" x14ac:dyDescent="0.35">
      <c r="A71" s="25"/>
      <c r="E71" s="60"/>
    </row>
    <row r="72" spans="1:5" x14ac:dyDescent="0.35">
      <c r="A72" s="25" t="s">
        <v>44</v>
      </c>
      <c r="E72" s="62">
        <f>E70/C51-1</f>
        <v>1.5971257157885295</v>
      </c>
    </row>
    <row r="73" spans="1:5" x14ac:dyDescent="0.35">
      <c r="A73" s="25"/>
      <c r="E73" s="26"/>
    </row>
    <row r="74" spans="1:5" ht="16" thickBot="1" x14ac:dyDescent="0.4">
      <c r="A74" s="63" t="s">
        <v>45</v>
      </c>
      <c r="B74" s="64"/>
      <c r="C74" s="64"/>
      <c r="D74" s="64"/>
      <c r="E74" s="102">
        <f>(E70/C51)^(1/10)-1</f>
        <v>0.10014339891635138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2023-07-08T08:06:30Z</dcterms:modified>
</cp:coreProperties>
</file>