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C15C67A1-C803-4993-B620-0C2E78DA244D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Pessimistisch" sheetId="34" r:id="rId1"/>
    <sheet name="Optimistisch" sheetId="32" r:id="rId2"/>
    <sheet name="Wachstum für faire Bewertung" sheetId="3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35" l="1"/>
  <c r="K11" i="32" l="1"/>
  <c r="J12" i="32" l="1"/>
  <c r="J12" i="34" l="1"/>
  <c r="H12" i="35" l="1"/>
  <c r="H11" i="35" s="1"/>
  <c r="I12" i="35" l="1"/>
  <c r="J12" i="35" s="1"/>
  <c r="K12" i="35" s="1"/>
  <c r="L12" i="35" s="1"/>
  <c r="M12" i="35" s="1"/>
  <c r="N12" i="35" s="1"/>
  <c r="O12" i="35" s="1"/>
  <c r="D50" i="35"/>
  <c r="C49" i="35"/>
  <c r="I31" i="35"/>
  <c r="I33" i="35" s="1"/>
  <c r="D46" i="35" s="1"/>
  <c r="C55" i="35" s="1"/>
  <c r="I25" i="35"/>
  <c r="G18" i="35"/>
  <c r="H18" i="35" s="1"/>
  <c r="I18" i="35" s="1"/>
  <c r="J18" i="35" s="1"/>
  <c r="K18" i="35" s="1"/>
  <c r="L18" i="35" s="1"/>
  <c r="M18" i="35" s="1"/>
  <c r="N18" i="35" s="1"/>
  <c r="O18" i="35" s="1"/>
  <c r="P18" i="35" s="1"/>
  <c r="F14" i="35"/>
  <c r="F16" i="35" s="1"/>
  <c r="E14" i="35"/>
  <c r="E16" i="35" s="1"/>
  <c r="D14" i="35"/>
  <c r="D16" i="35" s="1"/>
  <c r="C14" i="35"/>
  <c r="C16" i="35" s="1"/>
  <c r="F12" i="35"/>
  <c r="E12" i="35"/>
  <c r="D12" i="35"/>
  <c r="I11" i="35" l="1"/>
  <c r="J11" i="35" s="1"/>
  <c r="K11" i="35" s="1"/>
  <c r="L11" i="35" s="1"/>
  <c r="D14" i="34" l="1"/>
  <c r="E14" i="34"/>
  <c r="F14" i="34"/>
  <c r="G14" i="34"/>
  <c r="H14" i="34"/>
  <c r="I14" i="34"/>
  <c r="C14" i="34"/>
  <c r="D50" i="34" l="1"/>
  <c r="D50" i="32"/>
  <c r="G18" i="34"/>
  <c r="H18" i="34" s="1"/>
  <c r="I18" i="34" s="1"/>
  <c r="J18" i="34" s="1"/>
  <c r="K18" i="34" s="1"/>
  <c r="L18" i="34" s="1"/>
  <c r="M18" i="34" s="1"/>
  <c r="N18" i="34" s="1"/>
  <c r="O18" i="34" s="1"/>
  <c r="P18" i="34" s="1"/>
  <c r="G18" i="32"/>
  <c r="H18" i="32" s="1"/>
  <c r="I18" i="32" s="1"/>
  <c r="J18" i="32" s="1"/>
  <c r="K18" i="32" s="1"/>
  <c r="L18" i="32" s="1"/>
  <c r="M18" i="32" s="1"/>
  <c r="N18" i="32" s="1"/>
  <c r="O18" i="32" s="1"/>
  <c r="P18" i="32" s="1"/>
  <c r="G14" i="32" l="1"/>
  <c r="H14" i="32"/>
  <c r="I14" i="32"/>
  <c r="D14" i="32"/>
  <c r="E14" i="32"/>
  <c r="F14" i="32"/>
  <c r="C14" i="32"/>
  <c r="I25" i="32" l="1"/>
  <c r="I12" i="32" l="1"/>
  <c r="H12" i="34" l="1"/>
  <c r="I12" i="34"/>
  <c r="G12" i="34"/>
  <c r="E12" i="34"/>
  <c r="F12" i="34"/>
  <c r="D12" i="34"/>
  <c r="D12" i="32" l="1"/>
  <c r="E12" i="32"/>
  <c r="F12" i="32"/>
  <c r="G12" i="32"/>
  <c r="H12" i="32"/>
  <c r="C16" i="34" l="1"/>
  <c r="H16" i="34"/>
  <c r="G16" i="34"/>
  <c r="F16" i="34"/>
  <c r="E16" i="34"/>
  <c r="D16" i="34"/>
  <c r="C49" i="32"/>
  <c r="G17" i="34" l="1"/>
  <c r="H17" i="34"/>
  <c r="C49" i="34" l="1"/>
  <c r="I31" i="34"/>
  <c r="I33" i="34" s="1"/>
  <c r="D46" i="34" s="1"/>
  <c r="C55" i="34" s="1"/>
  <c r="I25" i="34"/>
  <c r="I57" i="32"/>
  <c r="I31" i="32"/>
  <c r="I33" i="32" s="1"/>
  <c r="D46" i="32" s="1"/>
  <c r="C55" i="32" s="1"/>
  <c r="C16" i="32"/>
  <c r="G19" i="32" l="1"/>
  <c r="H19" i="34"/>
  <c r="G19" i="34"/>
  <c r="H57" i="34"/>
  <c r="I57" i="34"/>
  <c r="H16" i="32"/>
  <c r="H19" i="32"/>
  <c r="H57" i="32"/>
  <c r="G16" i="32"/>
  <c r="F16" i="32" l="1"/>
  <c r="E16" i="32"/>
  <c r="D16" i="32"/>
  <c r="J57" i="32" l="1"/>
  <c r="I16" i="32"/>
  <c r="I19" i="32"/>
  <c r="J57" i="34" l="1"/>
  <c r="I16" i="34"/>
  <c r="I19" i="34"/>
  <c r="I17" i="34"/>
  <c r="H17" i="32" l="1"/>
  <c r="G17" i="32"/>
  <c r="I17" i="32" l="1"/>
  <c r="H14" i="35" l="1"/>
  <c r="G14" i="35"/>
  <c r="I14" i="35" l="1"/>
  <c r="I57" i="35" l="1"/>
  <c r="H19" i="35"/>
  <c r="H17" i="35"/>
  <c r="H16" i="35"/>
  <c r="H57" i="35"/>
  <c r="G19" i="35"/>
  <c r="G17" i="35"/>
  <c r="G16" i="35"/>
  <c r="J14" i="35"/>
  <c r="J57" i="35" l="1"/>
  <c r="I19" i="35"/>
  <c r="I17" i="35"/>
  <c r="I16" i="35"/>
  <c r="J16" i="35"/>
  <c r="K14" i="35"/>
  <c r="K15" i="35" s="1"/>
  <c r="K57" i="35" l="1"/>
  <c r="J19" i="35"/>
  <c r="J17" i="35"/>
  <c r="K17" i="35"/>
  <c r="K19" i="35"/>
  <c r="L57" i="35"/>
  <c r="M11" i="35"/>
  <c r="L14" i="35"/>
  <c r="L15" i="35" s="1"/>
  <c r="M57" i="35" l="1"/>
  <c r="L17" i="35"/>
  <c r="L19" i="35"/>
  <c r="M14" i="35"/>
  <c r="M15" i="35" s="1"/>
  <c r="N11" i="35"/>
  <c r="N14" i="35" l="1"/>
  <c r="N15" i="35" s="1"/>
  <c r="O11" i="35"/>
  <c r="M19" i="35"/>
  <c r="N57" i="35"/>
  <c r="M17" i="35"/>
  <c r="P11" i="35" l="1"/>
  <c r="O14" i="35"/>
  <c r="O15" i="35" s="1"/>
  <c r="N17" i="35"/>
  <c r="N19" i="35"/>
  <c r="O57" i="35"/>
  <c r="O17" i="35" l="1"/>
  <c r="O19" i="35"/>
  <c r="P57" i="35"/>
  <c r="Q11" i="35"/>
  <c r="Q14" i="35" s="1"/>
  <c r="Q15" i="35" s="1"/>
  <c r="P14" i="35"/>
  <c r="P15" i="35" s="1"/>
  <c r="D42" i="35" l="1"/>
  <c r="D40" i="35"/>
  <c r="D41" i="35"/>
  <c r="P19" i="35"/>
  <c r="P17" i="35"/>
  <c r="Q19" i="35"/>
  <c r="Q57" i="35"/>
  <c r="D57" i="35" s="1"/>
  <c r="D43" i="35"/>
  <c r="D44" i="35"/>
  <c r="D49" i="35" l="1"/>
  <c r="D51" i="35" s="1"/>
  <c r="D53" i="35" s="1"/>
  <c r="E62" i="35"/>
  <c r="E66" i="35"/>
  <c r="E68" i="35" s="1"/>
  <c r="E70" i="35" l="1"/>
  <c r="E74" i="35" s="1"/>
  <c r="D52" i="35" l="1"/>
  <c r="E72" i="35"/>
  <c r="J14" i="34" l="1"/>
  <c r="J16" i="34" l="1"/>
  <c r="K11" i="34"/>
  <c r="J19" i="34" l="1"/>
  <c r="K57" i="34"/>
  <c r="J17" i="34"/>
  <c r="K14" i="34"/>
  <c r="K15" i="34" s="1"/>
  <c r="L11" i="34"/>
  <c r="L14" i="34" l="1"/>
  <c r="L15" i="34" s="1"/>
  <c r="M11" i="34"/>
  <c r="K19" i="34"/>
  <c r="K17" i="34"/>
  <c r="L57" i="34"/>
  <c r="N11" i="34" l="1"/>
  <c r="M14" i="34"/>
  <c r="M15" i="34" s="1"/>
  <c r="M57" i="34"/>
  <c r="L19" i="34"/>
  <c r="L17" i="34"/>
  <c r="M19" i="34" l="1"/>
  <c r="N57" i="34"/>
  <c r="M17" i="34"/>
  <c r="N14" i="34"/>
  <c r="N15" i="34" s="1"/>
  <c r="O11" i="34"/>
  <c r="O14" i="34" l="1"/>
  <c r="O15" i="34" s="1"/>
  <c r="P11" i="34"/>
  <c r="O57" i="34"/>
  <c r="N17" i="34"/>
  <c r="N19" i="34"/>
  <c r="Q11" i="34" l="1"/>
  <c r="Q14" i="34" s="1"/>
  <c r="Q15" i="34" s="1"/>
  <c r="P14" i="34"/>
  <c r="P15" i="34" s="1"/>
  <c r="O19" i="34"/>
  <c r="P57" i="34"/>
  <c r="O17" i="34"/>
  <c r="D43" i="34" l="1"/>
  <c r="D42" i="34"/>
  <c r="D40" i="34"/>
  <c r="D44" i="34"/>
  <c r="D41" i="34"/>
  <c r="P17" i="34"/>
  <c r="P19" i="34"/>
  <c r="Q19" i="34"/>
  <c r="Q57" i="34"/>
  <c r="D57" i="34" s="1"/>
  <c r="D49" i="34" l="1"/>
  <c r="D51" i="34" s="1"/>
  <c r="D52" i="34" s="1"/>
  <c r="E62" i="34"/>
  <c r="E66" i="34"/>
  <c r="E68" i="34" s="1"/>
  <c r="D53" i="34" l="1"/>
  <c r="E70" i="34"/>
  <c r="E74" i="34" s="1"/>
  <c r="E72" i="34" l="1"/>
  <c r="J14" i="32"/>
  <c r="J19" i="32" l="1"/>
  <c r="K57" i="32"/>
  <c r="J16" i="32"/>
  <c r="J17" i="32"/>
  <c r="L11" i="32" l="1"/>
  <c r="K14" i="32"/>
  <c r="K15" i="32" s="1"/>
  <c r="K17" i="32" l="1"/>
  <c r="L57" i="32"/>
  <c r="K19" i="32"/>
  <c r="L14" i="32"/>
  <c r="L15" i="32" s="1"/>
  <c r="M11" i="32"/>
  <c r="M14" i="32" l="1"/>
  <c r="M15" i="32" s="1"/>
  <c r="N11" i="32"/>
  <c r="L19" i="32"/>
  <c r="M57" i="32"/>
  <c r="L17" i="32"/>
  <c r="N14" i="32" l="1"/>
  <c r="N15" i="32" s="1"/>
  <c r="O11" i="32"/>
  <c r="N57" i="32"/>
  <c r="M17" i="32"/>
  <c r="M19" i="32"/>
  <c r="P11" i="32" l="1"/>
  <c r="O14" i="32"/>
  <c r="O15" i="32" s="1"/>
  <c r="O57" i="32"/>
  <c r="N19" i="32"/>
  <c r="N17" i="32"/>
  <c r="O17" i="32" l="1"/>
  <c r="P57" i="32"/>
  <c r="O19" i="32"/>
  <c r="Q11" i="32"/>
  <c r="Q14" i="32" s="1"/>
  <c r="Q15" i="32" s="1"/>
  <c r="P14" i="32"/>
  <c r="P15" i="32" s="1"/>
  <c r="D43" i="32" l="1"/>
  <c r="D44" i="32"/>
  <c r="D42" i="32"/>
  <c r="D40" i="32"/>
  <c r="D41" i="32"/>
  <c r="P19" i="32"/>
  <c r="P17" i="32"/>
  <c r="E62" i="32" s="1"/>
  <c r="Q57" i="32"/>
  <c r="D57" i="32" s="1"/>
  <c r="Q19" i="32"/>
  <c r="D49" i="32" l="1"/>
  <c r="D51" i="32" s="1"/>
  <c r="D52" i="32" s="1"/>
  <c r="E66" i="32"/>
  <c r="E68" i="32" s="1"/>
  <c r="E70" i="32" l="1"/>
  <c r="E74" i="32" s="1"/>
  <c r="D53" i="32"/>
  <c r="E72" i="32" l="1"/>
</calcChain>
</file>

<file path=xl/sharedStrings.xml><?xml version="1.0" encoding="utf-8"?>
<sst xmlns="http://schemas.openxmlformats.org/spreadsheetml/2006/main" count="148" uniqueCount="49">
  <si>
    <t>Bewertung</t>
  </si>
  <si>
    <t>Umsatz-Wachstum, %</t>
  </si>
  <si>
    <t>Unterbewertung</t>
  </si>
  <si>
    <t>Fairer Wert</t>
  </si>
  <si>
    <t>Umsatz</t>
  </si>
  <si>
    <t>Marktkapitalisierung, Mio.</t>
  </si>
  <si>
    <t>Verhältnis EBIT zu Konzerngewinn:</t>
  </si>
  <si>
    <t>EK Quote:</t>
  </si>
  <si>
    <t>Vereinfachter WACC:</t>
  </si>
  <si>
    <t>Schätzungen »</t>
  </si>
  <si>
    <t>Discounted Net-Profit Modell</t>
  </si>
  <si>
    <t>Anzahl Aktien gesamt, Mio.</t>
  </si>
  <si>
    <t>Abgezinster Gewinn:</t>
  </si>
  <si>
    <t xml:space="preserve">Kurs pro Aktie </t>
  </si>
  <si>
    <t>Überbewertung</t>
  </si>
  <si>
    <t>EBIT Marge, %</t>
  </si>
  <si>
    <t>EBIT</t>
  </si>
  <si>
    <t xml:space="preserve">Ausschüttungsquote </t>
  </si>
  <si>
    <t xml:space="preserve">Ausgeschüttete Gewinne </t>
  </si>
  <si>
    <t>Eigenkapitalzins</t>
  </si>
  <si>
    <t>EK-Zins</t>
  </si>
  <si>
    <t xml:space="preserve">Umsatzmultiple </t>
  </si>
  <si>
    <t>Nullzinsmarkterwartung:</t>
  </si>
  <si>
    <t>Abgezinster Gewinn in Mrd. USD:</t>
  </si>
  <si>
    <t>Eigenkapitalverzinsung</t>
  </si>
  <si>
    <t>Risikoloser Basiszins:</t>
  </si>
  <si>
    <t>rF</t>
  </si>
  <si>
    <t>Risikoprämie:</t>
  </si>
  <si>
    <t>Marktrendite:</t>
  </si>
  <si>
    <t>rM</t>
  </si>
  <si>
    <t>ß</t>
  </si>
  <si>
    <t xml:space="preserve">Eigenkapitalkosten: </t>
  </si>
  <si>
    <t>rE</t>
  </si>
  <si>
    <t xml:space="preserve">Alle Angaben in Mio. </t>
  </si>
  <si>
    <t>Keine Rundung</t>
  </si>
  <si>
    <t>Beta Faktor:</t>
  </si>
  <si>
    <t>Gewinn je Aktie</t>
  </si>
  <si>
    <t>Gewinn je Aktie multipliziert mit fiktivem KGV</t>
  </si>
  <si>
    <t>Anzahl der Aktien in Mio. diluted (geschätzt)</t>
  </si>
  <si>
    <t>Gewinn (abzgl. Steuern, Zinsen)</t>
  </si>
  <si>
    <t xml:space="preserve"> </t>
  </si>
  <si>
    <t>2033ff.</t>
  </si>
  <si>
    <t>KGV Multiple in 2032</t>
  </si>
  <si>
    <t>Gesamtwert 2032</t>
  </si>
  <si>
    <t>Steigerung Gesamt bis 2032 in Prozent</t>
  </si>
  <si>
    <t>Renditeerwartung bis 2032 pro Jahr</t>
  </si>
  <si>
    <t xml:space="preserve"> Annahmen für Elia</t>
  </si>
  <si>
    <t>EUR</t>
  </si>
  <si>
    <t>Quellensteuer Belgien (25 %)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</si>
</sst>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0.0%"/>
  </numFmts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theme="0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8" fillId="2" borderId="0" xfId="0" applyFont="1" applyFill="1"/>
    <xf numFmtId="0" fontId="0" fillId="3" borderId="0" xfId="0" applyFill="1"/>
    <xf numFmtId="0" fontId="6" fillId="3" borderId="0" xfId="0" applyFont="1" applyFill="1" applyAlignment="1">
      <alignment vertical="center" wrapText="1"/>
    </xf>
    <xf numFmtId="0" fontId="10" fillId="2" borderId="0" xfId="0" applyFont="1" applyFill="1"/>
    <xf numFmtId="9" fontId="10" fillId="2" borderId="0" xfId="1" applyFont="1" applyFill="1"/>
    <xf numFmtId="0" fontId="0" fillId="4" borderId="0" xfId="0" applyFill="1"/>
    <xf numFmtId="0" fontId="6" fillId="4" borderId="0" xfId="0" applyFont="1" applyFill="1"/>
    <xf numFmtId="0" fontId="5" fillId="4" borderId="0" xfId="0" applyFont="1" applyFill="1"/>
    <xf numFmtId="0" fontId="6" fillId="5" borderId="0" xfId="0" applyFont="1" applyFill="1"/>
    <xf numFmtId="165" fontId="4" fillId="7" borderId="0" xfId="1" applyNumberFormat="1" applyFont="1" applyFill="1"/>
    <xf numFmtId="0" fontId="0" fillId="2" borderId="1" xfId="0" applyFill="1" applyBorder="1" applyAlignment="1">
      <alignment wrapText="1"/>
    </xf>
    <xf numFmtId="0" fontId="9" fillId="2" borderId="2" xfId="0" applyFont="1" applyFill="1" applyBorder="1"/>
    <xf numFmtId="9" fontId="0" fillId="2" borderId="3" xfId="1" applyFont="1" applyFill="1" applyBorder="1"/>
    <xf numFmtId="0" fontId="0" fillId="6" borderId="0" xfId="0" applyFill="1" applyAlignment="1">
      <alignment wrapText="1"/>
    </xf>
    <xf numFmtId="0" fontId="0" fillId="6" borderId="0" xfId="0" applyFill="1"/>
    <xf numFmtId="0" fontId="6" fillId="6" borderId="0" xfId="0" applyFont="1" applyFill="1" applyAlignment="1">
      <alignment horizontal="right"/>
    </xf>
    <xf numFmtId="0" fontId="8" fillId="6" borderId="0" xfId="0" applyFont="1" applyFill="1"/>
    <xf numFmtId="0" fontId="11" fillId="6" borderId="0" xfId="0" applyFont="1" applyFill="1"/>
    <xf numFmtId="4" fontId="6" fillId="6" borderId="0" xfId="0" applyNumberFormat="1" applyFont="1" applyFill="1"/>
    <xf numFmtId="0" fontId="6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10" fontId="0" fillId="2" borderId="0" xfId="0" applyNumberFormat="1" applyFill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2" fillId="2" borderId="0" xfId="0" applyFont="1" applyFill="1"/>
    <xf numFmtId="4" fontId="6" fillId="2" borderId="4" xfId="0" applyNumberFormat="1" applyFont="1" applyFill="1" applyBorder="1"/>
    <xf numFmtId="4" fontId="0" fillId="2" borderId="5" xfId="0" applyNumberFormat="1" applyFill="1" applyBorder="1"/>
    <xf numFmtId="3" fontId="0" fillId="2" borderId="5" xfId="0" applyNumberFormat="1" applyFill="1" applyBorder="1"/>
    <xf numFmtId="4" fontId="0" fillId="2" borderId="7" xfId="0" applyNumberFormat="1" applyFill="1" applyBorder="1"/>
    <xf numFmtId="4" fontId="0" fillId="2" borderId="0" xfId="0" applyNumberFormat="1" applyFill="1"/>
    <xf numFmtId="3" fontId="0" fillId="2" borderId="0" xfId="0" applyNumberFormat="1" applyFill="1"/>
    <xf numFmtId="165" fontId="4" fillId="2" borderId="0" xfId="1" applyNumberFormat="1" applyFont="1" applyFill="1" applyBorder="1"/>
    <xf numFmtId="3" fontId="6" fillId="2" borderId="0" xfId="0" applyNumberFormat="1" applyFont="1" applyFill="1"/>
    <xf numFmtId="165" fontId="6" fillId="2" borderId="0" xfId="1" applyNumberFormat="1" applyFont="1" applyFill="1" applyBorder="1"/>
    <xf numFmtId="9" fontId="0" fillId="2" borderId="0" xfId="1" applyFont="1" applyFill="1" applyBorder="1"/>
    <xf numFmtId="9" fontId="0" fillId="2" borderId="0" xfId="0" applyNumberFormat="1" applyFill="1"/>
    <xf numFmtId="9" fontId="6" fillId="2" borderId="0" xfId="0" applyNumberFormat="1" applyFont="1" applyFill="1"/>
    <xf numFmtId="10" fontId="6" fillId="2" borderId="10" xfId="0" applyNumberFormat="1" applyFont="1" applyFill="1" applyBorder="1"/>
    <xf numFmtId="0" fontId="6" fillId="8" borderId="0" xfId="0" applyFont="1" applyFill="1" applyAlignment="1">
      <alignment vertical="center" wrapText="1"/>
    </xf>
    <xf numFmtId="0" fontId="0" fillId="8" borderId="0" xfId="0" applyFill="1"/>
    <xf numFmtId="4" fontId="10" fillId="8" borderId="0" xfId="0" applyNumberFormat="1" applyFont="1" applyFill="1"/>
    <xf numFmtId="0" fontId="6" fillId="8" borderId="0" xfId="0" applyFont="1" applyFill="1"/>
    <xf numFmtId="1" fontId="4" fillId="8" borderId="0" xfId="1" applyNumberFormat="1" applyFont="1" applyFill="1"/>
    <xf numFmtId="10" fontId="6" fillId="8" borderId="0" xfId="1" applyNumberFormat="1" applyFont="1" applyFill="1"/>
    <xf numFmtId="0" fontId="0" fillId="2" borderId="1" xfId="0" applyFill="1" applyBorder="1"/>
    <xf numFmtId="0" fontId="10" fillId="2" borderId="2" xfId="0" applyFont="1" applyFill="1" applyBorder="1"/>
    <xf numFmtId="2" fontId="8" fillId="2" borderId="2" xfId="0" applyNumberFormat="1" applyFont="1" applyFill="1" applyBorder="1"/>
    <xf numFmtId="2" fontId="8" fillId="2" borderId="3" xfId="0" applyNumberFormat="1" applyFont="1" applyFill="1" applyBorder="1"/>
    <xf numFmtId="0" fontId="11" fillId="7" borderId="0" xfId="0" applyFont="1" applyFill="1" applyAlignment="1">
      <alignment horizontal="right" vertical="center"/>
    </xf>
    <xf numFmtId="4" fontId="0" fillId="8" borderId="0" xfId="0" applyNumberFormat="1" applyFill="1"/>
    <xf numFmtId="9" fontId="0" fillId="9" borderId="0" xfId="1" applyFont="1" applyFill="1"/>
    <xf numFmtId="9" fontId="6" fillId="8" borderId="0" xfId="1" applyFont="1" applyFill="1"/>
    <xf numFmtId="0" fontId="0" fillId="2" borderId="4" xfId="0" applyFill="1" applyBorder="1"/>
    <xf numFmtId="4" fontId="0" fillId="2" borderId="8" xfId="0" applyNumberFormat="1" applyFill="1" applyBorder="1"/>
    <xf numFmtId="3" fontId="7" fillId="2" borderId="8" xfId="0" quotePrefix="1" applyNumberFormat="1" applyFont="1" applyFill="1" applyBorder="1"/>
    <xf numFmtId="9" fontId="0" fillId="2" borderId="8" xfId="1" applyFont="1" applyFill="1" applyBorder="1"/>
    <xf numFmtId="0" fontId="0" fillId="10" borderId="9" xfId="0" applyFill="1" applyBorder="1"/>
    <xf numFmtId="0" fontId="0" fillId="10" borderId="10" xfId="0" applyFill="1" applyBorder="1"/>
    <xf numFmtId="10" fontId="6" fillId="2" borderId="0" xfId="1" applyNumberFormat="1" applyFont="1" applyFill="1"/>
    <xf numFmtId="1" fontId="4" fillId="2" borderId="0" xfId="1" applyNumberFormat="1" applyFont="1" applyFill="1"/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/>
    </xf>
    <xf numFmtId="9" fontId="0" fillId="2" borderId="0" xfId="0" applyNumberFormat="1" applyFill="1" applyAlignment="1">
      <alignment horizontal="center"/>
    </xf>
    <xf numFmtId="9" fontId="0" fillId="2" borderId="0" xfId="1" applyFont="1" applyFill="1"/>
    <xf numFmtId="165" fontId="0" fillId="7" borderId="0" xfId="1" applyNumberFormat="1" applyFont="1" applyFill="1"/>
    <xf numFmtId="4" fontId="0" fillId="7" borderId="0" xfId="0" applyNumberFormat="1" applyFill="1"/>
    <xf numFmtId="10" fontId="0" fillId="8" borderId="0" xfId="0" applyNumberFormat="1" applyFill="1"/>
    <xf numFmtId="4" fontId="4" fillId="8" borderId="0" xfId="1" applyNumberFormat="1" applyFont="1" applyFill="1"/>
    <xf numFmtId="0" fontId="0" fillId="2" borderId="0" xfId="0" quotePrefix="1" applyFill="1"/>
    <xf numFmtId="0" fontId="6" fillId="2" borderId="7" xfId="0" applyFont="1" applyFill="1" applyBorder="1"/>
    <xf numFmtId="10" fontId="6" fillId="2" borderId="0" xfId="0" applyNumberFormat="1" applyFont="1" applyFill="1"/>
    <xf numFmtId="10" fontId="0" fillId="2" borderId="5" xfId="0" applyNumberFormat="1" applyFill="1" applyBorder="1" applyAlignment="1">
      <alignment horizontal="right"/>
    </xf>
    <xf numFmtId="0" fontId="0" fillId="2" borderId="0" xfId="0" applyFill="1" applyAlignment="1">
      <alignment horizontal="right"/>
    </xf>
    <xf numFmtId="10" fontId="0" fillId="2" borderId="0" xfId="1" applyNumberFormat="1" applyFont="1" applyFill="1" applyBorder="1" applyAlignment="1">
      <alignment horizontal="right"/>
    </xf>
    <xf numFmtId="10" fontId="0" fillId="2" borderId="0" xfId="0" applyNumberFormat="1" applyFill="1" applyAlignment="1">
      <alignment horizontal="right"/>
    </xf>
    <xf numFmtId="4" fontId="10" fillId="5" borderId="0" xfId="0" applyNumberFormat="1" applyFont="1" applyFill="1"/>
    <xf numFmtId="164" fontId="11" fillId="6" borderId="0" xfId="0" applyNumberFormat="1" applyFont="1" applyFill="1"/>
    <xf numFmtId="10" fontId="0" fillId="7" borderId="0" xfId="1" applyNumberFormat="1" applyFont="1" applyFill="1"/>
    <xf numFmtId="165" fontId="10" fillId="7" borderId="0" xfId="1" applyNumberFormat="1" applyFont="1" applyFill="1"/>
    <xf numFmtId="9" fontId="10" fillId="5" borderId="0" xfId="1" applyFont="1" applyFill="1"/>
    <xf numFmtId="2" fontId="0" fillId="8" borderId="0" xfId="0" applyNumberFormat="1" applyFill="1"/>
    <xf numFmtId="10" fontId="10" fillId="5" borderId="0" xfId="1" applyNumberFormat="1" applyFont="1" applyFill="1"/>
    <xf numFmtId="165" fontId="10" fillId="5" borderId="0" xfId="1" applyNumberFormat="1" applyFont="1" applyFill="1"/>
    <xf numFmtId="0" fontId="10" fillId="2" borderId="4" xfId="0" applyFont="1" applyFill="1" applyBorder="1"/>
    <xf numFmtId="0" fontId="10" fillId="2" borderId="5" xfId="0" applyFont="1" applyFill="1" applyBorder="1"/>
    <xf numFmtId="10" fontId="10" fillId="2" borderId="5" xfId="0" applyNumberFormat="1" applyFont="1" applyFill="1" applyBorder="1" applyAlignment="1">
      <alignment horizontal="right"/>
    </xf>
    <xf numFmtId="0" fontId="10" fillId="2" borderId="7" xfId="0" applyFont="1" applyFill="1" applyBorder="1"/>
    <xf numFmtId="0" fontId="10" fillId="2" borderId="0" xfId="0" applyFont="1" applyFill="1" applyAlignment="1">
      <alignment horizontal="right"/>
    </xf>
    <xf numFmtId="10" fontId="10" fillId="2" borderId="0" xfId="1" applyNumberFormat="1" applyFont="1" applyFill="1" applyBorder="1" applyAlignment="1">
      <alignment horizontal="right"/>
    </xf>
    <xf numFmtId="10" fontId="10" fillId="2" borderId="0" xfId="0" applyNumberFormat="1" applyFont="1" applyFill="1" applyAlignment="1">
      <alignment horizontal="right"/>
    </xf>
    <xf numFmtId="0" fontId="11" fillId="2" borderId="7" xfId="0" applyFont="1" applyFill="1" applyBorder="1"/>
    <xf numFmtId="0" fontId="11" fillId="2" borderId="0" xfId="0" applyFont="1" applyFill="1"/>
    <xf numFmtId="10" fontId="11" fillId="2" borderId="0" xfId="0" applyNumberFormat="1" applyFont="1" applyFill="1"/>
    <xf numFmtId="9" fontId="10" fillId="6" borderId="0" xfId="1" applyFont="1" applyFill="1"/>
    <xf numFmtId="10" fontId="0" fillId="2" borderId="0" xfId="1" applyNumberFormat="1" applyFont="1" applyFill="1"/>
    <xf numFmtId="10" fontId="0" fillId="10" borderId="10" xfId="1" applyNumberFormat="1" applyFont="1" applyFill="1" applyBorder="1"/>
    <xf numFmtId="10" fontId="0" fillId="2" borderId="7" xfId="0" applyNumberFormat="1" applyFill="1" applyBorder="1"/>
    <xf numFmtId="4" fontId="13" fillId="2" borderId="8" xfId="0" quotePrefix="1" applyNumberFormat="1" applyFont="1" applyFill="1" applyBorder="1"/>
  </cellXfs>
  <cellStyles count="11">
    <cellStyle name="Prozent" xfId="1" builtinId="5"/>
    <cellStyle name="Prozent 2" xfId="2" xr:uid="{00000000-0005-0000-0000-000001000000}"/>
    <cellStyle name="Prozent 3" xfId="4" xr:uid="{00000000-0005-0000-0000-000002000000}"/>
    <cellStyle name="Prozent 3 2" xfId="8" xr:uid="{ACDD9188-69D6-4028-9709-96C6465716DF}"/>
    <cellStyle name="Prozent 4" xfId="6" xr:uid="{DE5E001C-AEE3-45AD-B913-D01465EAAE5D}"/>
    <cellStyle name="Prozent 4 2" xfId="10" xr:uid="{51C2CB77-11E2-4A8F-AF10-1CB4B8601286}"/>
    <cellStyle name="Standard" xfId="0" builtinId="0"/>
    <cellStyle name="Standard 2" xfId="3" xr:uid="{00000000-0005-0000-0000-000004000000}"/>
    <cellStyle name="Standard 2 2" xfId="7" xr:uid="{715999C6-8BDD-464F-A53F-2D0C0610C1C9}"/>
    <cellStyle name="Standard 3" xfId="5" xr:uid="{D21CDE20-7D2B-4947-8C50-96BDB9D63654}"/>
    <cellStyle name="Standard 3 2" xfId="9" xr:uid="{5011BA1F-B6E3-4681-B716-D0C9CC684563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00"/>
      <color rgb="FFFF7A5F"/>
      <color rgb="FFCC99FF"/>
      <color rgb="FFFFCC99"/>
      <color rgb="FFFFCC66"/>
      <color rgb="FFFFEB7D"/>
      <color rgb="FF009900"/>
      <color rgb="FFCCCCFF"/>
      <color rgb="FF9966FF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15507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480E8E9-90E0-4C71-8FA2-90316083A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64091" y="4656666"/>
          <a:ext cx="3582091" cy="138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29795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74A3B2B-061E-42EB-AB1A-BED6F37A5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88066" y="4656666"/>
          <a:ext cx="3596379" cy="1388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29795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ED6B0C2-47F7-4639-9157-E9F95B4B4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88066" y="4656666"/>
          <a:ext cx="3596379" cy="1388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0EB64-3C98-49AD-AFA7-32CB9200B01E}">
  <dimension ref="A2:AB74"/>
  <sheetViews>
    <sheetView topLeftCell="A56" zoomScaleNormal="100" workbookViewId="0">
      <selection activeCell="C60" sqref="C60"/>
    </sheetView>
  </sheetViews>
  <sheetFormatPr baseColWidth="10" defaultColWidth="10.58203125" defaultRowHeight="15.5" x14ac:dyDescent="0.35"/>
  <cols>
    <col min="1" max="1" width="27.08203125" style="1" bestFit="1" customWidth="1"/>
    <col min="2" max="2" width="32.33203125" style="1" customWidth="1"/>
    <col min="3" max="17" width="16.25" style="1" customWidth="1"/>
    <col min="18" max="18" width="10.58203125" style="1" customWidth="1"/>
    <col min="19" max="16384" width="10.58203125" style="1"/>
  </cols>
  <sheetData>
    <row r="2" spans="1:28" ht="26" x14ac:dyDescent="0.6">
      <c r="B2" s="31" t="s">
        <v>10</v>
      </c>
    </row>
    <row r="4" spans="1:28" x14ac:dyDescent="0.35">
      <c r="B4" s="22" t="s">
        <v>46</v>
      </c>
    </row>
    <row r="6" spans="1:28" x14ac:dyDescent="0.35">
      <c r="B6" s="1" t="s">
        <v>33</v>
      </c>
    </row>
    <row r="9" spans="1:28" s="8" customFormat="1" x14ac:dyDescent="0.35">
      <c r="G9" s="9" t="s">
        <v>9</v>
      </c>
      <c r="H9" s="10"/>
      <c r="I9" s="10"/>
      <c r="J9" s="10"/>
      <c r="K9" s="10"/>
      <c r="L9" s="10"/>
      <c r="M9" s="10"/>
      <c r="N9" s="10"/>
      <c r="O9" s="10"/>
      <c r="P9" s="10"/>
      <c r="Q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35">
      <c r="A10" s="4"/>
      <c r="B10" s="4"/>
      <c r="C10" s="11">
        <v>2019</v>
      </c>
      <c r="D10" s="11">
        <v>2020</v>
      </c>
      <c r="E10" s="11">
        <v>2021</v>
      </c>
      <c r="F10" s="11">
        <v>2022</v>
      </c>
      <c r="G10" s="55">
        <v>2023</v>
      </c>
      <c r="H10" s="55">
        <v>2024</v>
      </c>
      <c r="I10" s="55">
        <v>2025</v>
      </c>
      <c r="J10" s="55">
        <v>2026</v>
      </c>
      <c r="K10" s="55">
        <v>2027</v>
      </c>
      <c r="L10" s="55">
        <v>2028</v>
      </c>
      <c r="M10" s="55">
        <v>2029</v>
      </c>
      <c r="N10" s="55">
        <v>2030</v>
      </c>
      <c r="O10" s="55">
        <v>2031</v>
      </c>
      <c r="P10" s="55">
        <v>2032</v>
      </c>
      <c r="Q10" s="55" t="s">
        <v>41</v>
      </c>
    </row>
    <row r="11" spans="1:28" x14ac:dyDescent="0.35">
      <c r="A11" s="5"/>
      <c r="B11" s="4" t="s">
        <v>4</v>
      </c>
      <c r="C11" s="82">
        <v>2242.3000000000002</v>
      </c>
      <c r="D11" s="82">
        <v>2209.6</v>
      </c>
      <c r="E11" s="82">
        <v>2551.3000000000002</v>
      </c>
      <c r="F11" s="82">
        <v>3616</v>
      </c>
      <c r="G11" s="72">
        <v>3599.04</v>
      </c>
      <c r="H11" s="72">
        <v>3739.51</v>
      </c>
      <c r="I11" s="72">
        <v>4122.1099999999997</v>
      </c>
      <c r="J11" s="72">
        <v>4523.8500000000004</v>
      </c>
      <c r="K11" s="72">
        <f t="shared" ref="K11" si="0">J11*(1+K12)</f>
        <v>4750.0425000000005</v>
      </c>
      <c r="L11" s="72">
        <f t="shared" ref="L11:Q11" si="1">K11*(1+L12)</f>
        <v>4940.0442000000003</v>
      </c>
      <c r="M11" s="72">
        <f t="shared" si="1"/>
        <v>5112.9457469999998</v>
      </c>
      <c r="N11" s="72">
        <f t="shared" si="1"/>
        <v>5266.3341194100003</v>
      </c>
      <c r="O11" s="72">
        <f t="shared" si="1"/>
        <v>5371.6608017982007</v>
      </c>
      <c r="P11" s="72">
        <f t="shared" si="1"/>
        <v>5479.0940178341652</v>
      </c>
      <c r="Q11" s="72">
        <f t="shared" si="1"/>
        <v>5561.280428101677</v>
      </c>
    </row>
    <row r="12" spans="1:28" x14ac:dyDescent="0.35">
      <c r="A12" s="5"/>
      <c r="B12" s="4" t="s">
        <v>1</v>
      </c>
      <c r="C12" s="86"/>
      <c r="D12" s="89">
        <f t="shared" ref="D12:J12" si="2">D11/C11-1</f>
        <v>-1.4583240422780253E-2</v>
      </c>
      <c r="E12" s="89">
        <f t="shared" si="2"/>
        <v>0.1546433743664013</v>
      </c>
      <c r="F12" s="89">
        <f t="shared" si="2"/>
        <v>0.41731666209383445</v>
      </c>
      <c r="G12" s="85">
        <f t="shared" si="2"/>
        <v>-4.6902654867256866E-3</v>
      </c>
      <c r="H12" s="85">
        <f t="shared" si="2"/>
        <v>3.902985240508583E-2</v>
      </c>
      <c r="I12" s="85">
        <f t="shared" si="2"/>
        <v>0.10231286986797716</v>
      </c>
      <c r="J12" s="85">
        <f t="shared" si="2"/>
        <v>9.7459796075311189E-2</v>
      </c>
      <c r="K12" s="85">
        <v>0.05</v>
      </c>
      <c r="L12" s="71">
        <v>0.04</v>
      </c>
      <c r="M12" s="71">
        <v>3.5000000000000003E-2</v>
      </c>
      <c r="N12" s="71">
        <v>0.03</v>
      </c>
      <c r="O12" s="71">
        <v>0.02</v>
      </c>
      <c r="P12" s="71">
        <v>0.02</v>
      </c>
      <c r="Q12" s="12">
        <v>1.4999999999999999E-2</v>
      </c>
    </row>
    <row r="13" spans="1:28" ht="16" customHeight="1" x14ac:dyDescent="0.35">
      <c r="A13" s="5"/>
      <c r="B13" s="4" t="s">
        <v>15</v>
      </c>
      <c r="C13" s="88">
        <v>0.28060000000000002</v>
      </c>
      <c r="D13" s="88">
        <v>0.17380000000000001</v>
      </c>
      <c r="E13" s="88">
        <v>0.1106</v>
      </c>
      <c r="F13" s="88">
        <v>5.1400000000000001E-2</v>
      </c>
      <c r="G13" s="84">
        <v>0.18540000000000001</v>
      </c>
      <c r="H13" s="84">
        <v>0.1847</v>
      </c>
      <c r="I13" s="84">
        <v>0.19289999999999999</v>
      </c>
      <c r="J13" s="84">
        <v>0.1852</v>
      </c>
      <c r="K13" s="84">
        <v>0.185</v>
      </c>
      <c r="L13" s="84">
        <v>0.185</v>
      </c>
      <c r="M13" s="84">
        <v>0.185</v>
      </c>
      <c r="N13" s="84">
        <v>0.185</v>
      </c>
      <c r="O13" s="84">
        <v>0.185</v>
      </c>
      <c r="P13" s="84">
        <v>0.185</v>
      </c>
      <c r="Q13" s="84">
        <v>0.185</v>
      </c>
    </row>
    <row r="14" spans="1:28" ht="17.149999999999999" customHeight="1" x14ac:dyDescent="0.35">
      <c r="A14" s="5"/>
      <c r="B14" s="4" t="s">
        <v>16</v>
      </c>
      <c r="C14" s="82">
        <f>C11*C13</f>
        <v>629.18938000000014</v>
      </c>
      <c r="D14" s="82">
        <f t="shared" ref="D14:I14" si="3">D11*D13</f>
        <v>384.02848</v>
      </c>
      <c r="E14" s="82">
        <f t="shared" si="3"/>
        <v>282.17378000000002</v>
      </c>
      <c r="F14" s="82">
        <f t="shared" si="3"/>
        <v>185.86240000000001</v>
      </c>
      <c r="G14" s="72">
        <f t="shared" si="3"/>
        <v>667.26201600000002</v>
      </c>
      <c r="H14" s="72">
        <f t="shared" si="3"/>
        <v>690.68749700000001</v>
      </c>
      <c r="I14" s="72">
        <f t="shared" si="3"/>
        <v>795.15501899999992</v>
      </c>
      <c r="J14" s="72">
        <f>J11*J13</f>
        <v>837.81702000000007</v>
      </c>
      <c r="K14" s="72">
        <f t="shared" ref="K14:Q14" si="4">K11*K13</f>
        <v>878.7578625000001</v>
      </c>
      <c r="L14" s="72">
        <f t="shared" si="4"/>
        <v>913.90817700000002</v>
      </c>
      <c r="M14" s="72">
        <f t="shared" si="4"/>
        <v>945.89496319499995</v>
      </c>
      <c r="N14" s="72">
        <f t="shared" si="4"/>
        <v>974.27181209085006</v>
      </c>
      <c r="O14" s="72">
        <f t="shared" si="4"/>
        <v>993.75724833266713</v>
      </c>
      <c r="P14" s="72">
        <f>P11*P13</f>
        <v>1013.6323932993206</v>
      </c>
      <c r="Q14" s="72">
        <f t="shared" si="4"/>
        <v>1028.8368791988103</v>
      </c>
    </row>
    <row r="15" spans="1:28" x14ac:dyDescent="0.35">
      <c r="A15" s="100">
        <v>0.5</v>
      </c>
      <c r="B15" s="4" t="s">
        <v>39</v>
      </c>
      <c r="C15" s="82">
        <v>254.27682000000001</v>
      </c>
      <c r="D15" s="82">
        <v>250.12671999999998</v>
      </c>
      <c r="E15" s="82">
        <v>275.79553000000004</v>
      </c>
      <c r="F15" s="82">
        <v>341.71199999999999</v>
      </c>
      <c r="G15" s="72">
        <v>312.756576</v>
      </c>
      <c r="H15" s="72">
        <v>307.01377100000002</v>
      </c>
      <c r="I15" s="72">
        <v>348.73050599999993</v>
      </c>
      <c r="J15" s="72">
        <v>375.93193500000001</v>
      </c>
      <c r="K15" s="72">
        <f t="shared" ref="K15:Q15" si="5">K14*(1-$A$15)</f>
        <v>439.37893125000005</v>
      </c>
      <c r="L15" s="72">
        <f t="shared" si="5"/>
        <v>456.95408850000001</v>
      </c>
      <c r="M15" s="72">
        <f t="shared" si="5"/>
        <v>472.94748159749997</v>
      </c>
      <c r="N15" s="72">
        <f t="shared" si="5"/>
        <v>487.13590604542503</v>
      </c>
      <c r="O15" s="72">
        <f t="shared" si="5"/>
        <v>496.87862416633357</v>
      </c>
      <c r="P15" s="72">
        <f>P14*(1-$A$15)</f>
        <v>506.8161966496603</v>
      </c>
      <c r="Q15" s="72">
        <f t="shared" si="5"/>
        <v>514.41843959940513</v>
      </c>
    </row>
    <row r="16" spans="1:28" ht="31.5" hidden="1" thickBot="1" x14ac:dyDescent="0.4">
      <c r="A16" s="13" t="s">
        <v>6</v>
      </c>
      <c r="B16" s="14"/>
      <c r="C16" s="15">
        <f t="shared" ref="C16:J16" si="6">C15/C14</f>
        <v>0.40413399857448318</v>
      </c>
      <c r="D16" s="15">
        <f t="shared" si="6"/>
        <v>0.65132336018411963</v>
      </c>
      <c r="E16" s="15">
        <f t="shared" si="6"/>
        <v>0.97739602169981921</v>
      </c>
      <c r="F16" s="15">
        <f t="shared" si="6"/>
        <v>1.83852140077821</v>
      </c>
      <c r="G16" s="15">
        <f t="shared" si="6"/>
        <v>0.46871628910463858</v>
      </c>
      <c r="H16" s="15">
        <f t="shared" si="6"/>
        <v>0.4445046020573904</v>
      </c>
      <c r="I16" s="15">
        <f t="shared" si="6"/>
        <v>0.43856920684292378</v>
      </c>
      <c r="J16" s="15">
        <f t="shared" si="6"/>
        <v>0.44870410367170621</v>
      </c>
    </row>
    <row r="17" spans="1:18" x14ac:dyDescent="0.35">
      <c r="A17" s="2" t="s">
        <v>36</v>
      </c>
      <c r="C17" s="82"/>
      <c r="D17" s="82"/>
      <c r="E17" s="82"/>
      <c r="F17" s="82"/>
      <c r="G17" s="72">
        <f>G15/G18</f>
        <v>4.3988266666666673</v>
      </c>
      <c r="H17" s="72">
        <f t="shared" ref="H17:P17" si="7">H15/H18</f>
        <v>4.318055850914206</v>
      </c>
      <c r="I17" s="72">
        <f t="shared" si="7"/>
        <v>4.9047891139240498</v>
      </c>
      <c r="J17" s="72">
        <f t="shared" si="7"/>
        <v>5.2873689873417726</v>
      </c>
      <c r="K17" s="72">
        <f t="shared" si="7"/>
        <v>6.1797318037974698</v>
      </c>
      <c r="L17" s="72">
        <f t="shared" si="7"/>
        <v>6.4269210759493678</v>
      </c>
      <c r="M17" s="72">
        <f t="shared" si="7"/>
        <v>6.6518633136075955</v>
      </c>
      <c r="N17" s="72">
        <f t="shared" si="7"/>
        <v>6.8514192130158236</v>
      </c>
      <c r="O17" s="72">
        <f t="shared" si="7"/>
        <v>6.9884475972761404</v>
      </c>
      <c r="P17" s="72">
        <f t="shared" si="7"/>
        <v>7.1282165492216647</v>
      </c>
      <c r="Q17" s="72"/>
    </row>
    <row r="18" spans="1:18" ht="31.5" thickBot="1" x14ac:dyDescent="0.4">
      <c r="A18" s="2" t="s">
        <v>38</v>
      </c>
      <c r="C18" s="82"/>
      <c r="D18" s="82"/>
      <c r="E18" s="82"/>
      <c r="F18" s="82"/>
      <c r="G18" s="72">
        <f>C50</f>
        <v>71.099999999999994</v>
      </c>
      <c r="H18" s="72">
        <f>G18*1</f>
        <v>71.099999999999994</v>
      </c>
      <c r="I18" s="72">
        <f t="shared" ref="I18:P18" si="8">H18*1</f>
        <v>71.099999999999994</v>
      </c>
      <c r="J18" s="72">
        <f t="shared" si="8"/>
        <v>71.099999999999994</v>
      </c>
      <c r="K18" s="72">
        <f t="shared" si="8"/>
        <v>71.099999999999994</v>
      </c>
      <c r="L18" s="72">
        <f t="shared" si="8"/>
        <v>71.099999999999994</v>
      </c>
      <c r="M18" s="72">
        <f t="shared" si="8"/>
        <v>71.099999999999994</v>
      </c>
      <c r="N18" s="72">
        <f t="shared" si="8"/>
        <v>71.099999999999994</v>
      </c>
      <c r="O18" s="72">
        <f t="shared" si="8"/>
        <v>71.099999999999994</v>
      </c>
      <c r="P18" s="72">
        <f t="shared" si="8"/>
        <v>71.099999999999994</v>
      </c>
      <c r="Q18" s="72"/>
    </row>
    <row r="19" spans="1:18" ht="16" thickBot="1" x14ac:dyDescent="0.4">
      <c r="A19" s="2"/>
      <c r="E19" s="51" t="s">
        <v>12</v>
      </c>
      <c r="F19" s="52"/>
      <c r="G19" s="53">
        <f>G15/(1+$C$55)</f>
        <v>285.36183941605839</v>
      </c>
      <c r="H19" s="53">
        <f>H15/(1+$C$55)^2</f>
        <v>255.5858155402525</v>
      </c>
      <c r="I19" s="53">
        <f>I15/(1+$C$55)^3</f>
        <v>264.88555617655362</v>
      </c>
      <c r="J19" s="53">
        <f>J15/(1+$C$55)^4</f>
        <v>260.53555749066237</v>
      </c>
      <c r="K19" s="53">
        <f>K15/(1+$C$55)^5</f>
        <v>277.83468186777628</v>
      </c>
      <c r="L19" s="53">
        <f>L15/(1+$C$55)^6</f>
        <v>263.63874921759788</v>
      </c>
      <c r="M19" s="53">
        <f>M15/(1+$C$55)^7</f>
        <v>248.9654246717279</v>
      </c>
      <c r="N19" s="53">
        <f>N15/(1+$C$55)^8</f>
        <v>233.97298121521871</v>
      </c>
      <c r="O19" s="53">
        <f>O15/(1+$C$55)^9</f>
        <v>217.74857740832397</v>
      </c>
      <c r="P19" s="53">
        <f>P15/(1+$C$55)^10</f>
        <v>202.64922350044748</v>
      </c>
      <c r="Q19" s="54">
        <f>(Q15/(C55-Q12))/(1+C55)^10</f>
        <v>2539.3698994191868</v>
      </c>
    </row>
    <row r="20" spans="1:18" x14ac:dyDescent="0.35">
      <c r="A20" s="2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6"/>
      <c r="P20" s="3"/>
      <c r="Q20" s="3"/>
      <c r="R20" s="3"/>
    </row>
    <row r="21" spans="1:18" x14ac:dyDescent="0.35">
      <c r="A21" s="2"/>
      <c r="J21" s="101"/>
      <c r="K21" s="101"/>
      <c r="L21" s="101"/>
      <c r="M21" s="101"/>
      <c r="N21" s="101"/>
      <c r="O21" s="101"/>
      <c r="P21" s="101"/>
      <c r="Q21" s="101"/>
      <c r="R21" s="3"/>
    </row>
    <row r="22" spans="1:18" ht="16" thickBot="1" x14ac:dyDescent="0.4">
      <c r="P22" s="3"/>
      <c r="Q22" s="3"/>
      <c r="R22" s="3"/>
    </row>
    <row r="23" spans="1:18" x14ac:dyDescent="0.35">
      <c r="A23" s="32" t="s">
        <v>24</v>
      </c>
      <c r="B23" s="33"/>
      <c r="C23" s="33"/>
      <c r="D23" s="34"/>
      <c r="E23" s="23"/>
      <c r="F23" s="33"/>
      <c r="G23" s="90" t="s">
        <v>25</v>
      </c>
      <c r="H23" s="91"/>
      <c r="I23" s="92">
        <v>3.7499999999999999E-2</v>
      </c>
      <c r="J23" s="24" t="s">
        <v>26</v>
      </c>
    </row>
    <row r="24" spans="1:18" x14ac:dyDescent="0.35">
      <c r="A24" s="35"/>
      <c r="B24" s="36"/>
      <c r="C24" s="36"/>
      <c r="D24" s="37"/>
      <c r="E24" s="36"/>
      <c r="F24" s="36"/>
      <c r="G24" s="93"/>
      <c r="H24" s="6"/>
      <c r="I24" s="94"/>
      <c r="J24" s="26"/>
    </row>
    <row r="25" spans="1:18" x14ac:dyDescent="0.35">
      <c r="A25" s="35"/>
      <c r="B25" s="36"/>
      <c r="C25" s="36"/>
      <c r="D25" s="38"/>
      <c r="F25" s="36"/>
      <c r="G25" s="93" t="s">
        <v>27</v>
      </c>
      <c r="H25" s="6"/>
      <c r="I25" s="95">
        <f>(I27-I23)*I29</f>
        <v>5.8500000000000017E-2</v>
      </c>
      <c r="J25" s="26"/>
    </row>
    <row r="26" spans="1:18" x14ac:dyDescent="0.35">
      <c r="A26" s="35"/>
      <c r="B26" s="36"/>
      <c r="C26" s="36"/>
      <c r="D26" s="38"/>
      <c r="F26" s="36"/>
      <c r="G26" s="93"/>
      <c r="H26" s="6"/>
      <c r="I26" s="94"/>
      <c r="J26" s="26"/>
    </row>
    <row r="27" spans="1:18" x14ac:dyDescent="0.35">
      <c r="A27" s="35"/>
      <c r="B27" s="36"/>
      <c r="C27" s="36"/>
      <c r="D27" s="38"/>
      <c r="F27" s="36"/>
      <c r="G27" s="93" t="s">
        <v>28</v>
      </c>
      <c r="H27" s="6"/>
      <c r="I27" s="96">
        <v>7.0000000000000007E-2</v>
      </c>
      <c r="J27" s="26" t="s">
        <v>29</v>
      </c>
    </row>
    <row r="28" spans="1:18" x14ac:dyDescent="0.35">
      <c r="A28" s="35"/>
      <c r="B28" s="36"/>
      <c r="C28" s="36"/>
      <c r="D28" s="39"/>
      <c r="F28" s="36"/>
      <c r="G28" s="93"/>
      <c r="H28" s="6"/>
      <c r="I28" s="94"/>
      <c r="J28" s="26"/>
    </row>
    <row r="29" spans="1:18" x14ac:dyDescent="0.35">
      <c r="A29" s="35"/>
      <c r="B29" s="36"/>
      <c r="C29" s="36"/>
      <c r="D29" s="39"/>
      <c r="F29" s="36"/>
      <c r="G29" s="93" t="s">
        <v>35</v>
      </c>
      <c r="H29" s="6"/>
      <c r="I29" s="79">
        <v>1.8</v>
      </c>
      <c r="J29" s="26" t="s">
        <v>30</v>
      </c>
    </row>
    <row r="30" spans="1:18" x14ac:dyDescent="0.35">
      <c r="A30" s="35"/>
      <c r="B30" s="36"/>
      <c r="C30" s="36"/>
      <c r="D30" s="40"/>
      <c r="F30" s="36"/>
      <c r="G30" s="93"/>
      <c r="H30" s="6"/>
      <c r="I30" s="94"/>
      <c r="J30" s="26"/>
    </row>
    <row r="31" spans="1:18" x14ac:dyDescent="0.35">
      <c r="A31" s="35"/>
      <c r="B31" s="36"/>
      <c r="C31" s="36"/>
      <c r="D31" s="37"/>
      <c r="F31" s="36"/>
      <c r="G31" s="93" t="s">
        <v>31</v>
      </c>
      <c r="H31" s="6"/>
      <c r="I31" s="96">
        <f>I23+(I27-I23)*I29</f>
        <v>9.6000000000000016E-2</v>
      </c>
      <c r="J31" s="26" t="s">
        <v>32</v>
      </c>
    </row>
    <row r="32" spans="1:18" x14ac:dyDescent="0.35">
      <c r="A32" s="25"/>
      <c r="C32" s="41"/>
      <c r="E32" s="36"/>
      <c r="F32" s="36"/>
      <c r="G32" s="93"/>
      <c r="H32" s="6"/>
      <c r="I32" s="6"/>
      <c r="J32" s="26"/>
    </row>
    <row r="33" spans="1:10" x14ac:dyDescent="0.35">
      <c r="A33" s="25"/>
      <c r="G33" s="97" t="s">
        <v>34</v>
      </c>
      <c r="H33" s="98"/>
      <c r="I33" s="99">
        <f>I31</f>
        <v>9.6000000000000016E-2</v>
      </c>
      <c r="J33" s="26"/>
    </row>
    <row r="34" spans="1:10" x14ac:dyDescent="0.35">
      <c r="A34" s="35" t="s">
        <v>7</v>
      </c>
      <c r="B34" s="36"/>
      <c r="C34" s="42"/>
      <c r="D34" s="27"/>
      <c r="G34" s="93"/>
      <c r="H34" s="6"/>
      <c r="I34" s="6"/>
      <c r="J34" s="26"/>
    </row>
    <row r="35" spans="1:10" ht="15.75" hidden="1" customHeight="1" x14ac:dyDescent="0.35">
      <c r="A35" s="25"/>
      <c r="G35" s="25"/>
      <c r="J35" s="26"/>
    </row>
    <row r="36" spans="1:10" ht="15.75" hidden="1" customHeight="1" x14ac:dyDescent="0.35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35">
      <c r="A37" s="25"/>
      <c r="G37" s="25"/>
      <c r="J37" s="26"/>
    </row>
    <row r="38" spans="1:10" ht="15.75" hidden="1" customHeight="1" x14ac:dyDescent="0.35">
      <c r="A38" s="25"/>
      <c r="G38" s="25"/>
      <c r="J38" s="26"/>
    </row>
    <row r="39" spans="1:10" ht="15.75" hidden="1" customHeight="1" x14ac:dyDescent="0.35">
      <c r="A39" s="25"/>
      <c r="G39" s="25"/>
      <c r="J39" s="26"/>
    </row>
    <row r="40" spans="1:10" hidden="1" x14ac:dyDescent="0.35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35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35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35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35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35">
      <c r="A45" s="25"/>
      <c r="G45" s="25"/>
      <c r="J45" s="26"/>
    </row>
    <row r="46" spans="1:10" ht="16" thickBot="1" x14ac:dyDescent="0.4">
      <c r="A46" s="28"/>
      <c r="B46" s="29" t="s">
        <v>20</v>
      </c>
      <c r="C46" s="29"/>
      <c r="D46" s="44">
        <f>I33</f>
        <v>9.6000000000000016E-2</v>
      </c>
      <c r="E46" s="29"/>
      <c r="F46" s="29"/>
      <c r="G46" s="28"/>
      <c r="H46" s="29"/>
      <c r="I46" s="29"/>
      <c r="J46" s="30"/>
    </row>
    <row r="48" spans="1:10" x14ac:dyDescent="0.35">
      <c r="A48" s="16"/>
      <c r="B48" s="17"/>
      <c r="C48" s="83">
        <v>45115</v>
      </c>
      <c r="D48" s="18" t="s">
        <v>3</v>
      </c>
      <c r="E48" s="19"/>
      <c r="F48" s="20"/>
      <c r="G48" s="21"/>
      <c r="H48" s="21"/>
      <c r="I48" s="21"/>
    </row>
    <row r="49" spans="1:17" x14ac:dyDescent="0.35">
      <c r="A49" s="45" t="s">
        <v>0</v>
      </c>
      <c r="B49" s="46" t="s">
        <v>5</v>
      </c>
      <c r="C49" s="56">
        <f>C50*C51</f>
        <v>7892.0999999999995</v>
      </c>
      <c r="D49" s="47">
        <f>SUM(G19:Q19)</f>
        <v>5050.5483059238059</v>
      </c>
      <c r="E49" s="46" t="s">
        <v>47</v>
      </c>
    </row>
    <row r="50" spans="1:17" x14ac:dyDescent="0.35">
      <c r="A50" s="45"/>
      <c r="B50" s="46" t="s">
        <v>11</v>
      </c>
      <c r="C50" s="56">
        <v>71.099999999999994</v>
      </c>
      <c r="D50" s="56">
        <f>C50</f>
        <v>71.099999999999994</v>
      </c>
      <c r="E50" s="46"/>
    </row>
    <row r="51" spans="1:17" x14ac:dyDescent="0.35">
      <c r="A51" s="45"/>
      <c r="B51" s="46" t="s">
        <v>13</v>
      </c>
      <c r="C51" s="87">
        <v>111</v>
      </c>
      <c r="D51" s="56">
        <f>D49/(D50)</f>
        <v>71.034434682472664</v>
      </c>
      <c r="E51" s="46" t="s">
        <v>47</v>
      </c>
    </row>
    <row r="52" spans="1:17" x14ac:dyDescent="0.35">
      <c r="A52" s="45"/>
      <c r="B52" s="46" t="s">
        <v>2</v>
      </c>
      <c r="C52" s="46"/>
      <c r="D52" s="57">
        <f>IF(C51/D51-1&gt;0,0,C51/D51-1)*-1</f>
        <v>0</v>
      </c>
      <c r="E52" s="46"/>
    </row>
    <row r="53" spans="1:17" x14ac:dyDescent="0.35">
      <c r="A53" s="45"/>
      <c r="B53" s="46" t="s">
        <v>14</v>
      </c>
      <c r="C53" s="46"/>
      <c r="D53" s="58">
        <f>IF(C51/D51-1&lt;0,0,C51/D51-1)</f>
        <v>0.5626224168063747</v>
      </c>
      <c r="E53" s="46"/>
    </row>
    <row r="54" spans="1:17" x14ac:dyDescent="0.35">
      <c r="A54" s="46"/>
      <c r="B54" s="46"/>
      <c r="C54" s="46"/>
      <c r="D54" s="48"/>
      <c r="E54" s="48"/>
    </row>
    <row r="55" spans="1:17" x14ac:dyDescent="0.35">
      <c r="A55" s="48" t="s">
        <v>19</v>
      </c>
      <c r="B55" s="46"/>
      <c r="C55" s="50">
        <f>D46</f>
        <v>9.6000000000000016E-2</v>
      </c>
      <c r="D55" s="49"/>
      <c r="E55" s="46"/>
      <c r="J55" s="70"/>
    </row>
    <row r="56" spans="1:17" x14ac:dyDescent="0.35">
      <c r="A56" s="48"/>
      <c r="B56" s="46"/>
      <c r="C56" s="50"/>
      <c r="D56" s="49"/>
      <c r="E56" s="46"/>
    </row>
    <row r="57" spans="1:17" hidden="1" x14ac:dyDescent="0.35">
      <c r="A57" s="48" t="s">
        <v>22</v>
      </c>
      <c r="B57" s="73">
        <v>0.108</v>
      </c>
      <c r="C57" s="50"/>
      <c r="D57" s="74">
        <f>SUM(H57:Q57)*1000</f>
        <v>4174313.7595325578</v>
      </c>
      <c r="E57" s="46"/>
      <c r="F57" s="1" t="s">
        <v>23</v>
      </c>
      <c r="H57" s="1">
        <f>G15/(1+$B$57)</f>
        <v>282.2712779783393</v>
      </c>
      <c r="I57" s="1">
        <f>H15/(1+$B$57)^2</f>
        <v>250.07963986888916</v>
      </c>
      <c r="J57" s="1">
        <f>I15/(1+$B$57)^3</f>
        <v>256.37203976553411</v>
      </c>
      <c r="K57" s="1">
        <f>J15/(1+$B$57)^4</f>
        <v>249.43085680894907</v>
      </c>
      <c r="L57" s="1">
        <f>K15/(1+$B$57)^5</f>
        <v>263.1118608736503</v>
      </c>
      <c r="M57" s="1">
        <f>L15/(1+$B$57)^6</f>
        <v>246.96420154205441</v>
      </c>
      <c r="N57" s="1">
        <f>M15/(1+$B$57)^7</f>
        <v>230.69309440074574</v>
      </c>
      <c r="O57" s="1">
        <f>N15/(1+$B$57)^8</f>
        <v>214.45296681657766</v>
      </c>
      <c r="P57" s="1">
        <f>O15/(1+$B$57)^9</f>
        <v>197.42060122103717</v>
      </c>
      <c r="Q57" s="1">
        <f>(Q15/(B57-Q12))/(1+B57)^10</f>
        <v>1983.5172202567812</v>
      </c>
    </row>
    <row r="58" spans="1:17" ht="16" thickBot="1" x14ac:dyDescent="0.4">
      <c r="A58" s="22"/>
      <c r="C58" s="65"/>
      <c r="D58" s="66"/>
    </row>
    <row r="59" spans="1:17" x14ac:dyDescent="0.35">
      <c r="A59" s="59" t="s">
        <v>42</v>
      </c>
      <c r="B59" s="23"/>
      <c r="C59" s="67">
        <v>16</v>
      </c>
      <c r="D59" s="23"/>
      <c r="E59" s="24"/>
    </row>
    <row r="60" spans="1:17" x14ac:dyDescent="0.35">
      <c r="A60" s="25" t="s">
        <v>21</v>
      </c>
      <c r="C60" s="68"/>
      <c r="E60" s="26"/>
    </row>
    <row r="61" spans="1:17" x14ac:dyDescent="0.35">
      <c r="A61" s="25"/>
      <c r="C61" s="68"/>
      <c r="E61" s="26"/>
    </row>
    <row r="62" spans="1:17" x14ac:dyDescent="0.35">
      <c r="A62" s="25" t="s">
        <v>37</v>
      </c>
      <c r="C62" s="68"/>
      <c r="E62" s="60">
        <f>P17*C59</f>
        <v>114.05146478754664</v>
      </c>
    </row>
    <row r="63" spans="1:17" x14ac:dyDescent="0.35">
      <c r="A63" s="25"/>
      <c r="C63" s="68"/>
      <c r="E63" s="26"/>
    </row>
    <row r="64" spans="1:17" x14ac:dyDescent="0.35">
      <c r="A64" s="25" t="s">
        <v>17</v>
      </c>
      <c r="C64" s="69">
        <v>0.4</v>
      </c>
      <c r="E64" s="26"/>
    </row>
    <row r="65" spans="1:5" x14ac:dyDescent="0.35">
      <c r="A65" s="25"/>
      <c r="E65" s="26"/>
    </row>
    <row r="66" spans="1:5" x14ac:dyDescent="0.35">
      <c r="A66" s="25" t="s">
        <v>18</v>
      </c>
      <c r="E66" s="60">
        <f>SUM(G17:Q17)*C64</f>
        <v>23.654256068685903</v>
      </c>
    </row>
    <row r="67" spans="1:5" x14ac:dyDescent="0.35">
      <c r="A67" s="25"/>
      <c r="E67" s="61"/>
    </row>
    <row r="68" spans="1:5" x14ac:dyDescent="0.35">
      <c r="A68" s="103" t="s">
        <v>48</v>
      </c>
      <c r="E68" s="104">
        <f>(E66*0.25)*-1</f>
        <v>-5.9135640171714758</v>
      </c>
    </row>
    <row r="69" spans="1:5" x14ac:dyDescent="0.35">
      <c r="A69" s="25"/>
      <c r="C69" s="41"/>
      <c r="D69" s="41"/>
      <c r="E69" s="62"/>
    </row>
    <row r="70" spans="1:5" x14ac:dyDescent="0.35">
      <c r="A70" s="25" t="s">
        <v>43</v>
      </c>
      <c r="E70" s="60">
        <f>SUM(E62:E68)</f>
        <v>131.79215683906108</v>
      </c>
    </row>
    <row r="71" spans="1:5" x14ac:dyDescent="0.35">
      <c r="A71" s="25"/>
      <c r="E71" s="60"/>
    </row>
    <row r="72" spans="1:5" x14ac:dyDescent="0.35">
      <c r="A72" s="25" t="s">
        <v>44</v>
      </c>
      <c r="E72" s="62">
        <f>E70/C51-1</f>
        <v>0.18731672827982959</v>
      </c>
    </row>
    <row r="73" spans="1:5" x14ac:dyDescent="0.35">
      <c r="A73" s="25"/>
      <c r="E73" s="26"/>
    </row>
    <row r="74" spans="1:5" ht="16" thickBot="1" x14ac:dyDescent="0.4">
      <c r="A74" s="63" t="s">
        <v>45</v>
      </c>
      <c r="B74" s="64"/>
      <c r="C74" s="64"/>
      <c r="D74" s="64"/>
      <c r="E74" s="102">
        <f>(E70/C51)^(1/10)-1</f>
        <v>1.7317835740738197E-2</v>
      </c>
    </row>
  </sheetData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conditionalFormatting sqref="G6:J8">
    <cfRule type="top10" dxfId="11" priority="5" percent="1" rank="10"/>
  </conditionalFormatting>
  <conditionalFormatting sqref="K9">
    <cfRule type="top10" dxfId="10" priority="4" percent="1" rank="10"/>
  </conditionalFormatting>
  <conditionalFormatting sqref="L2:L5">
    <cfRule type="top10" dxfId="9" priority="3" percent="1" rank="10"/>
  </conditionalFormatting>
  <conditionalFormatting sqref="L6:L8">
    <cfRule type="top10" dxfId="8" priority="6" percent="1" rank="10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CB34D-A856-4E94-9389-3AD72615DA53}">
  <dimension ref="A2:AB74"/>
  <sheetViews>
    <sheetView topLeftCell="A45" zoomScaleNormal="100" workbookViewId="0">
      <selection activeCell="C60" sqref="C60"/>
    </sheetView>
  </sheetViews>
  <sheetFormatPr baseColWidth="10" defaultColWidth="10.58203125" defaultRowHeight="15.5" x14ac:dyDescent="0.35"/>
  <cols>
    <col min="1" max="1" width="27.08203125" style="1" bestFit="1" customWidth="1"/>
    <col min="2" max="2" width="32.33203125" style="1" customWidth="1"/>
    <col min="3" max="17" width="16.25" style="1" customWidth="1"/>
    <col min="18" max="18" width="10.58203125" style="1" customWidth="1"/>
    <col min="19" max="16384" width="10.58203125" style="1"/>
  </cols>
  <sheetData>
    <row r="2" spans="1:28" ht="26" x14ac:dyDescent="0.6">
      <c r="B2" s="31" t="s">
        <v>10</v>
      </c>
    </row>
    <row r="4" spans="1:28" x14ac:dyDescent="0.35">
      <c r="B4" s="22" t="s">
        <v>46</v>
      </c>
    </row>
    <row r="6" spans="1:28" x14ac:dyDescent="0.35">
      <c r="B6" s="1" t="s">
        <v>33</v>
      </c>
    </row>
    <row r="9" spans="1:28" s="8" customFormat="1" x14ac:dyDescent="0.35">
      <c r="G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35">
      <c r="A10" s="4"/>
      <c r="B10" s="4"/>
      <c r="C10" s="11">
        <v>2019</v>
      </c>
      <c r="D10" s="11">
        <v>2020</v>
      </c>
      <c r="E10" s="11">
        <v>2021</v>
      </c>
      <c r="F10" s="11">
        <v>2022</v>
      </c>
      <c r="G10" s="55">
        <v>2023</v>
      </c>
      <c r="H10" s="55">
        <v>2024</v>
      </c>
      <c r="I10" s="55">
        <v>2025</v>
      </c>
      <c r="J10" s="55">
        <v>2026</v>
      </c>
      <c r="K10" s="55">
        <v>2027</v>
      </c>
      <c r="L10" s="55">
        <v>2028</v>
      </c>
      <c r="M10" s="55">
        <v>2029</v>
      </c>
      <c r="N10" s="55">
        <v>2030</v>
      </c>
      <c r="O10" s="55">
        <v>2031</v>
      </c>
      <c r="P10" s="55">
        <v>2032</v>
      </c>
      <c r="Q10" s="55" t="s">
        <v>41</v>
      </c>
    </row>
    <row r="11" spans="1:28" x14ac:dyDescent="0.35">
      <c r="A11" s="5"/>
      <c r="B11" s="4" t="s">
        <v>4</v>
      </c>
      <c r="C11" s="82">
        <v>2242.3000000000002</v>
      </c>
      <c r="D11" s="82">
        <v>2209.6</v>
      </c>
      <c r="E11" s="82">
        <v>2551.3000000000002</v>
      </c>
      <c r="F11" s="82">
        <v>3616</v>
      </c>
      <c r="G11" s="72">
        <v>3599.04</v>
      </c>
      <c r="H11" s="72">
        <v>3739.51</v>
      </c>
      <c r="I11" s="72">
        <v>4122.1099999999997</v>
      </c>
      <c r="J11" s="72">
        <v>4523.8500000000004</v>
      </c>
      <c r="K11" s="72">
        <f t="shared" ref="K11" si="0">J11*(1+K12)</f>
        <v>5021.473500000001</v>
      </c>
      <c r="L11" s="72">
        <f t="shared" ref="L11:Q11" si="1">K11*(1+L12)</f>
        <v>5473.4061150000016</v>
      </c>
      <c r="M11" s="72">
        <f t="shared" si="1"/>
        <v>5856.5445430500022</v>
      </c>
      <c r="N11" s="72">
        <f t="shared" si="1"/>
        <v>6178.6544929177517</v>
      </c>
      <c r="O11" s="72">
        <f t="shared" si="1"/>
        <v>6425.800672634462</v>
      </c>
      <c r="P11" s="72">
        <f t="shared" si="1"/>
        <v>6618.5746928134959</v>
      </c>
      <c r="Q11" s="72">
        <f t="shared" si="1"/>
        <v>6750.9461866697657</v>
      </c>
    </row>
    <row r="12" spans="1:28" x14ac:dyDescent="0.35">
      <c r="A12" s="5"/>
      <c r="B12" s="4" t="s">
        <v>1</v>
      </c>
      <c r="C12" s="89"/>
      <c r="D12" s="89">
        <f t="shared" ref="D12:J12" si="2">D11/C11-1</f>
        <v>-1.4583240422780253E-2</v>
      </c>
      <c r="E12" s="89">
        <f t="shared" si="2"/>
        <v>0.1546433743664013</v>
      </c>
      <c r="F12" s="89">
        <f t="shared" si="2"/>
        <v>0.41731666209383445</v>
      </c>
      <c r="G12" s="85">
        <f t="shared" si="2"/>
        <v>-4.6902654867256866E-3</v>
      </c>
      <c r="H12" s="85">
        <f t="shared" si="2"/>
        <v>3.902985240508583E-2</v>
      </c>
      <c r="I12" s="85">
        <f t="shared" si="2"/>
        <v>0.10231286986797716</v>
      </c>
      <c r="J12" s="85">
        <f t="shared" si="2"/>
        <v>9.7459796075311189E-2</v>
      </c>
      <c r="K12" s="85">
        <v>0.11</v>
      </c>
      <c r="L12" s="71">
        <v>0.09</v>
      </c>
      <c r="M12" s="71">
        <v>7.0000000000000007E-2</v>
      </c>
      <c r="N12" s="71">
        <v>5.5E-2</v>
      </c>
      <c r="O12" s="71">
        <v>0.04</v>
      </c>
      <c r="P12" s="71">
        <v>0.03</v>
      </c>
      <c r="Q12" s="12">
        <v>0.02</v>
      </c>
    </row>
    <row r="13" spans="1:28" ht="16" customHeight="1" x14ac:dyDescent="0.35">
      <c r="A13" s="5"/>
      <c r="B13" s="4" t="s">
        <v>15</v>
      </c>
      <c r="C13" s="88">
        <v>0.28060000000000002</v>
      </c>
      <c r="D13" s="88">
        <v>0.17380000000000001</v>
      </c>
      <c r="E13" s="88">
        <v>0.1106</v>
      </c>
      <c r="F13" s="88">
        <v>5.1400000000000001E-2</v>
      </c>
      <c r="G13" s="84">
        <v>0.18540000000000001</v>
      </c>
      <c r="H13" s="84">
        <v>0.1847</v>
      </c>
      <c r="I13" s="84">
        <v>0.19289999999999999</v>
      </c>
      <c r="J13" s="84">
        <v>0.1852</v>
      </c>
      <c r="K13" s="84">
        <v>0.19</v>
      </c>
      <c r="L13" s="84">
        <v>0.19500000000000001</v>
      </c>
      <c r="M13" s="84">
        <v>0.2</v>
      </c>
      <c r="N13" s="84">
        <v>0.21</v>
      </c>
      <c r="O13" s="84">
        <v>0.22</v>
      </c>
      <c r="P13" s="84">
        <v>0.23</v>
      </c>
      <c r="Q13" s="84">
        <v>0.23</v>
      </c>
    </row>
    <row r="14" spans="1:28" ht="17.149999999999999" customHeight="1" x14ac:dyDescent="0.35">
      <c r="A14" s="5"/>
      <c r="B14" s="4" t="s">
        <v>16</v>
      </c>
      <c r="C14" s="82">
        <f>C11*C13</f>
        <v>629.18938000000014</v>
      </c>
      <c r="D14" s="82">
        <f t="shared" ref="D14:J14" si="3">D11*D13</f>
        <v>384.02848</v>
      </c>
      <c r="E14" s="82">
        <f t="shared" si="3"/>
        <v>282.17378000000002</v>
      </c>
      <c r="F14" s="82">
        <f t="shared" si="3"/>
        <v>185.86240000000001</v>
      </c>
      <c r="G14" s="72">
        <f t="shared" si="3"/>
        <v>667.26201600000002</v>
      </c>
      <c r="H14" s="72">
        <f t="shared" si="3"/>
        <v>690.68749700000001</v>
      </c>
      <c r="I14" s="72">
        <f t="shared" si="3"/>
        <v>795.15501899999992</v>
      </c>
      <c r="J14" s="72">
        <f t="shared" si="3"/>
        <v>837.81702000000007</v>
      </c>
      <c r="K14" s="72">
        <f t="shared" ref="K14:Q14" si="4">K11*K13</f>
        <v>954.07996500000024</v>
      </c>
      <c r="L14" s="72">
        <f t="shared" si="4"/>
        <v>1067.3141924250003</v>
      </c>
      <c r="M14" s="72">
        <f t="shared" si="4"/>
        <v>1171.3089086100006</v>
      </c>
      <c r="N14" s="72">
        <f t="shared" si="4"/>
        <v>1297.5174435127278</v>
      </c>
      <c r="O14" s="72">
        <f>O11*O13</f>
        <v>1413.6761479795816</v>
      </c>
      <c r="P14" s="72">
        <f t="shared" si="4"/>
        <v>1522.2721793471042</v>
      </c>
      <c r="Q14" s="72">
        <f t="shared" si="4"/>
        <v>1552.7176229340462</v>
      </c>
    </row>
    <row r="15" spans="1:28" x14ac:dyDescent="0.35">
      <c r="A15" s="100">
        <v>0.4</v>
      </c>
      <c r="B15" s="4" t="s">
        <v>39</v>
      </c>
      <c r="C15" s="82">
        <v>254.27682000000001</v>
      </c>
      <c r="D15" s="82">
        <v>250.12671999999998</v>
      </c>
      <c r="E15" s="82">
        <v>275.79553000000004</v>
      </c>
      <c r="F15" s="82">
        <v>341.71199999999999</v>
      </c>
      <c r="G15" s="72">
        <v>312.756576</v>
      </c>
      <c r="H15" s="72">
        <v>307.01377100000002</v>
      </c>
      <c r="I15" s="72">
        <v>348.73050599999993</v>
      </c>
      <c r="J15" s="72">
        <v>375.93193500000001</v>
      </c>
      <c r="K15" s="72">
        <f t="shared" ref="K15:Q15" si="5">K14*(1-$A$15)</f>
        <v>572.44797900000015</v>
      </c>
      <c r="L15" s="72">
        <f t="shared" si="5"/>
        <v>640.38851545500017</v>
      </c>
      <c r="M15" s="72">
        <f t="shared" si="5"/>
        <v>702.7853451660003</v>
      </c>
      <c r="N15" s="72">
        <f t="shared" si="5"/>
        <v>778.51046610763672</v>
      </c>
      <c r="O15" s="72">
        <f>O14*(1-$A$15)</f>
        <v>848.20568878774895</v>
      </c>
      <c r="P15" s="72">
        <f t="shared" si="5"/>
        <v>913.36330760826252</v>
      </c>
      <c r="Q15" s="72">
        <f t="shared" si="5"/>
        <v>931.63057376042764</v>
      </c>
    </row>
    <row r="16" spans="1:28" ht="31.5" hidden="1" thickBot="1" x14ac:dyDescent="0.4">
      <c r="A16" s="13" t="s">
        <v>6</v>
      </c>
      <c r="B16" s="14"/>
      <c r="C16" s="15">
        <f t="shared" ref="C16:J16" si="6">C15/C14</f>
        <v>0.40413399857448318</v>
      </c>
      <c r="D16" s="15">
        <f t="shared" si="6"/>
        <v>0.65132336018411963</v>
      </c>
      <c r="E16" s="15">
        <f t="shared" si="6"/>
        <v>0.97739602169981921</v>
      </c>
      <c r="F16" s="15">
        <f t="shared" si="6"/>
        <v>1.83852140077821</v>
      </c>
      <c r="G16" s="15">
        <f t="shared" si="6"/>
        <v>0.46871628910463858</v>
      </c>
      <c r="H16" s="15">
        <f t="shared" si="6"/>
        <v>0.4445046020573904</v>
      </c>
      <c r="I16" s="15">
        <f t="shared" si="6"/>
        <v>0.43856920684292378</v>
      </c>
      <c r="J16" s="15">
        <f t="shared" si="6"/>
        <v>0.44870410367170621</v>
      </c>
    </row>
    <row r="17" spans="1:18" x14ac:dyDescent="0.35">
      <c r="A17" s="2" t="s">
        <v>36</v>
      </c>
      <c r="C17" s="82"/>
      <c r="D17" s="82"/>
      <c r="E17" s="82"/>
      <c r="F17" s="82"/>
      <c r="G17" s="72">
        <f>G15/G18</f>
        <v>4.3988266666666673</v>
      </c>
      <c r="H17" s="72">
        <f>H15/H18</f>
        <v>4.318055850914206</v>
      </c>
      <c r="I17" s="72">
        <f t="shared" ref="I17:O17" si="7">I15/I18</f>
        <v>4.9047891139240498</v>
      </c>
      <c r="J17" s="72">
        <f>J15/J18</f>
        <v>5.2873689873417726</v>
      </c>
      <c r="K17" s="72">
        <f t="shared" si="7"/>
        <v>8.0513077215189899</v>
      </c>
      <c r="L17" s="72">
        <f t="shared" si="7"/>
        <v>9.0068708221519014</v>
      </c>
      <c r="M17" s="72">
        <f t="shared" si="7"/>
        <v>9.8844633637974741</v>
      </c>
      <c r="N17" s="72">
        <f t="shared" si="7"/>
        <v>10.949514291246649</v>
      </c>
      <c r="O17" s="72">
        <f t="shared" si="7"/>
        <v>11.929756523034445</v>
      </c>
      <c r="P17" s="72">
        <f>P15/P18</f>
        <v>12.846178728667548</v>
      </c>
      <c r="Q17" s="72"/>
    </row>
    <row r="18" spans="1:18" ht="31.5" thickBot="1" x14ac:dyDescent="0.4">
      <c r="A18" s="2" t="s">
        <v>38</v>
      </c>
      <c r="C18" s="82"/>
      <c r="D18" s="82"/>
      <c r="E18" s="82"/>
      <c r="F18" s="82"/>
      <c r="G18" s="72">
        <f>C50</f>
        <v>71.099999999999994</v>
      </c>
      <c r="H18" s="72">
        <f>G18*1</f>
        <v>71.099999999999994</v>
      </c>
      <c r="I18" s="72">
        <f t="shared" ref="I18:P18" si="8">H18*1</f>
        <v>71.099999999999994</v>
      </c>
      <c r="J18" s="72">
        <f t="shared" si="8"/>
        <v>71.099999999999994</v>
      </c>
      <c r="K18" s="72">
        <f t="shared" si="8"/>
        <v>71.099999999999994</v>
      </c>
      <c r="L18" s="72">
        <f t="shared" si="8"/>
        <v>71.099999999999994</v>
      </c>
      <c r="M18" s="72">
        <f t="shared" si="8"/>
        <v>71.099999999999994</v>
      </c>
      <c r="N18" s="72">
        <f t="shared" si="8"/>
        <v>71.099999999999994</v>
      </c>
      <c r="O18" s="72">
        <f t="shared" si="8"/>
        <v>71.099999999999994</v>
      </c>
      <c r="P18" s="72">
        <f t="shared" si="8"/>
        <v>71.099999999999994</v>
      </c>
      <c r="Q18" s="72"/>
    </row>
    <row r="19" spans="1:18" ht="16" thickBot="1" x14ac:dyDescent="0.4">
      <c r="A19" s="2"/>
      <c r="E19" s="51" t="s">
        <v>12</v>
      </c>
      <c r="F19" s="52"/>
      <c r="G19" s="53">
        <f>G15/(1+$C$55)</f>
        <v>285.36183941605839</v>
      </c>
      <c r="H19" s="53">
        <f>H15/(1+$C$55)^2</f>
        <v>255.5858155402525</v>
      </c>
      <c r="I19" s="53">
        <f>I15/(1+$C$55)^3</f>
        <v>264.88555617655362</v>
      </c>
      <c r="J19" s="53">
        <f>J15/(1+$C$55)^4</f>
        <v>260.53555749066237</v>
      </c>
      <c r="K19" s="53">
        <f>K15/(1+$C$55)^5</f>
        <v>361.97889980487429</v>
      </c>
      <c r="L19" s="53">
        <f>L15/(1+$C$55)^6</f>
        <v>369.47087568923371</v>
      </c>
      <c r="M19" s="53">
        <f>M15/(1+$C$55)^7</f>
        <v>369.9549288671908</v>
      </c>
      <c r="N19" s="53">
        <f>N15/(1+$C$55)^8</f>
        <v>373.92114274875041</v>
      </c>
      <c r="O19" s="53">
        <f>O15/(1+$C$55)^9</f>
        <v>371.71166780028716</v>
      </c>
      <c r="P19" s="53">
        <f>P15/(1+$C$55)^10</f>
        <v>365.20609697199745</v>
      </c>
      <c r="Q19" s="54">
        <f>(Q15/(C55-Q12))/(1+C55)^10</f>
        <v>4901.4502488347007</v>
      </c>
    </row>
    <row r="20" spans="1:18" x14ac:dyDescent="0.35">
      <c r="A20" s="2"/>
      <c r="C20" s="75"/>
      <c r="D20" s="42"/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35">
      <c r="A21" s="2"/>
      <c r="J21" s="101"/>
      <c r="K21" s="101"/>
      <c r="L21" s="101"/>
      <c r="M21" s="101"/>
      <c r="N21" s="101"/>
      <c r="O21" s="101"/>
      <c r="P21" s="101"/>
      <c r="Q21" s="101"/>
      <c r="R21" s="3"/>
    </row>
    <row r="22" spans="1:18" ht="16" thickBot="1" x14ac:dyDescent="0.4">
      <c r="P22" s="3"/>
      <c r="Q22" s="3"/>
      <c r="R22" s="3"/>
    </row>
    <row r="23" spans="1:18" x14ac:dyDescent="0.35">
      <c r="A23" s="32" t="s">
        <v>24</v>
      </c>
      <c r="B23" s="33"/>
      <c r="C23" s="33"/>
      <c r="D23" s="34"/>
      <c r="E23" s="23"/>
      <c r="F23" s="33"/>
      <c r="G23" s="59" t="s">
        <v>25</v>
      </c>
      <c r="H23" s="23"/>
      <c r="I23" s="78">
        <v>3.7499999999999999E-2</v>
      </c>
      <c r="J23" s="24" t="s">
        <v>26</v>
      </c>
    </row>
    <row r="24" spans="1:18" x14ac:dyDescent="0.35">
      <c r="A24" s="35"/>
      <c r="B24" s="36"/>
      <c r="C24" s="36"/>
      <c r="D24" s="37"/>
      <c r="E24" s="36"/>
      <c r="F24" s="36"/>
      <c r="G24" s="25"/>
      <c r="I24" s="79"/>
      <c r="J24" s="26"/>
    </row>
    <row r="25" spans="1:18" x14ac:dyDescent="0.35">
      <c r="A25" s="35"/>
      <c r="B25" s="36"/>
      <c r="C25" s="36"/>
      <c r="D25" s="38"/>
      <c r="F25" s="36"/>
      <c r="G25" s="25" t="s">
        <v>27</v>
      </c>
      <c r="I25" s="80">
        <f>(I27-I23)*I29</f>
        <v>5.8500000000000017E-2</v>
      </c>
      <c r="J25" s="26"/>
    </row>
    <row r="26" spans="1:18" x14ac:dyDescent="0.35">
      <c r="A26" s="35"/>
      <c r="B26" s="36"/>
      <c r="C26" s="36"/>
      <c r="D26" s="38"/>
      <c r="F26" s="36"/>
      <c r="G26" s="25"/>
      <c r="I26" s="79"/>
      <c r="J26" s="26"/>
    </row>
    <row r="27" spans="1:18" x14ac:dyDescent="0.35">
      <c r="A27" s="35"/>
      <c r="B27" s="36"/>
      <c r="C27" s="36"/>
      <c r="D27" s="38"/>
      <c r="F27" s="36"/>
      <c r="G27" s="25" t="s">
        <v>28</v>
      </c>
      <c r="I27" s="81">
        <v>7.0000000000000007E-2</v>
      </c>
      <c r="J27" s="26" t="s">
        <v>29</v>
      </c>
    </row>
    <row r="28" spans="1:18" x14ac:dyDescent="0.35">
      <c r="A28" s="35"/>
      <c r="B28" s="36"/>
      <c r="C28" s="36"/>
      <c r="D28" s="39"/>
      <c r="F28" s="36"/>
      <c r="G28" s="25"/>
      <c r="I28" s="79"/>
      <c r="J28" s="26"/>
    </row>
    <row r="29" spans="1:18" x14ac:dyDescent="0.35">
      <c r="A29" s="35"/>
      <c r="B29" s="36"/>
      <c r="C29" s="36"/>
      <c r="D29" s="39"/>
      <c r="F29" s="36"/>
      <c r="G29" s="25" t="s">
        <v>35</v>
      </c>
      <c r="I29" s="79">
        <v>1.8</v>
      </c>
      <c r="J29" s="26" t="s">
        <v>30</v>
      </c>
    </row>
    <row r="30" spans="1:18" x14ac:dyDescent="0.35">
      <c r="A30" s="35"/>
      <c r="B30" s="36"/>
      <c r="C30" s="36"/>
      <c r="D30" s="40"/>
      <c r="F30" s="36"/>
      <c r="G30" s="25"/>
      <c r="I30" s="79"/>
      <c r="J30" s="26"/>
    </row>
    <row r="31" spans="1:18" x14ac:dyDescent="0.35">
      <c r="A31" s="35"/>
      <c r="B31" s="36"/>
      <c r="C31" s="36"/>
      <c r="D31" s="37"/>
      <c r="F31" s="36"/>
      <c r="G31" s="25" t="s">
        <v>31</v>
      </c>
      <c r="I31" s="81">
        <f>I23+(I27-I23)*I29</f>
        <v>9.6000000000000016E-2</v>
      </c>
      <c r="J31" s="26" t="s">
        <v>32</v>
      </c>
    </row>
    <row r="32" spans="1:18" x14ac:dyDescent="0.35">
      <c r="A32" s="25"/>
      <c r="C32" s="41"/>
      <c r="E32" s="36"/>
      <c r="F32" s="36"/>
      <c r="G32" s="25"/>
      <c r="J32" s="26"/>
    </row>
    <row r="33" spans="1:10" x14ac:dyDescent="0.35">
      <c r="A33" s="25"/>
      <c r="G33" s="76" t="s">
        <v>34</v>
      </c>
      <c r="H33" s="22"/>
      <c r="I33" s="77">
        <f>I31</f>
        <v>9.6000000000000016E-2</v>
      </c>
      <c r="J33" s="26"/>
    </row>
    <row r="34" spans="1:10" x14ac:dyDescent="0.35">
      <c r="A34" s="35" t="s">
        <v>7</v>
      </c>
      <c r="B34" s="36"/>
      <c r="C34" s="42"/>
      <c r="D34" s="27"/>
      <c r="G34" s="25"/>
      <c r="J34" s="26"/>
    </row>
    <row r="35" spans="1:10" ht="15.75" hidden="1" customHeight="1" x14ac:dyDescent="0.35">
      <c r="A35" s="25"/>
      <c r="G35" s="25"/>
      <c r="J35" s="26"/>
    </row>
    <row r="36" spans="1:10" ht="15.75" hidden="1" customHeight="1" x14ac:dyDescent="0.35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35">
      <c r="A37" s="25"/>
      <c r="G37" s="25"/>
      <c r="J37" s="26"/>
    </row>
    <row r="38" spans="1:10" ht="15.75" hidden="1" customHeight="1" x14ac:dyDescent="0.35">
      <c r="A38" s="25"/>
      <c r="G38" s="25"/>
      <c r="J38" s="26"/>
    </row>
    <row r="39" spans="1:10" ht="15.75" hidden="1" customHeight="1" x14ac:dyDescent="0.35">
      <c r="A39" s="25"/>
      <c r="G39" s="25"/>
      <c r="J39" s="26"/>
    </row>
    <row r="40" spans="1:10" hidden="1" x14ac:dyDescent="0.35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35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35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35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35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35">
      <c r="A45" s="25"/>
      <c r="G45" s="25"/>
      <c r="J45" s="26"/>
    </row>
    <row r="46" spans="1:10" ht="16" thickBot="1" x14ac:dyDescent="0.4">
      <c r="A46" s="28"/>
      <c r="B46" s="29" t="s">
        <v>20</v>
      </c>
      <c r="C46" s="29"/>
      <c r="D46" s="44">
        <f>I33</f>
        <v>9.6000000000000016E-2</v>
      </c>
      <c r="E46" s="29"/>
      <c r="F46" s="29"/>
      <c r="G46" s="28"/>
      <c r="H46" s="29"/>
      <c r="I46" s="29"/>
      <c r="J46" s="30"/>
    </row>
    <row r="48" spans="1:10" x14ac:dyDescent="0.35">
      <c r="A48" s="16"/>
      <c r="B48" s="17"/>
      <c r="C48" s="83">
        <v>45115</v>
      </c>
      <c r="D48" s="18" t="s">
        <v>3</v>
      </c>
      <c r="E48" s="19"/>
      <c r="F48" s="20"/>
      <c r="G48" s="21"/>
      <c r="H48" s="21"/>
      <c r="I48" s="21"/>
    </row>
    <row r="49" spans="1:17" x14ac:dyDescent="0.35">
      <c r="A49" s="45" t="s">
        <v>0</v>
      </c>
      <c r="B49" s="46" t="s">
        <v>5</v>
      </c>
      <c r="C49" s="56">
        <f>C50*C51</f>
        <v>7892.0999999999995</v>
      </c>
      <c r="D49" s="47">
        <f>SUM(G19:Q19)</f>
        <v>8180.0626293405612</v>
      </c>
      <c r="E49" s="46" t="s">
        <v>47</v>
      </c>
    </row>
    <row r="50" spans="1:17" x14ac:dyDescent="0.35">
      <c r="A50" s="45"/>
      <c r="B50" s="46" t="s">
        <v>11</v>
      </c>
      <c r="C50" s="56">
        <v>71.099999999999994</v>
      </c>
      <c r="D50" s="56">
        <f>C50</f>
        <v>71.099999999999994</v>
      </c>
      <c r="E50" s="46"/>
    </row>
    <row r="51" spans="1:17" x14ac:dyDescent="0.35">
      <c r="A51" s="45"/>
      <c r="B51" s="46" t="s">
        <v>13</v>
      </c>
      <c r="C51" s="87">
        <v>111</v>
      </c>
      <c r="D51" s="56">
        <f>D49/(D50)</f>
        <v>115.05010730436796</v>
      </c>
      <c r="E51" s="46" t="s">
        <v>47</v>
      </c>
    </row>
    <row r="52" spans="1:17" x14ac:dyDescent="0.35">
      <c r="A52" s="45"/>
      <c r="B52" s="46" t="s">
        <v>2</v>
      </c>
      <c r="C52" s="46"/>
      <c r="D52" s="57">
        <f>IF(C51/D51-1&gt;0,0,C51/D51-1)*-1</f>
        <v>3.5202985892514582E-2</v>
      </c>
      <c r="E52" s="46"/>
    </row>
    <row r="53" spans="1:17" x14ac:dyDescent="0.35">
      <c r="A53" s="45"/>
      <c r="B53" s="46" t="s">
        <v>14</v>
      </c>
      <c r="C53" s="46"/>
      <c r="D53" s="58">
        <f>IF(C51/D51-1&lt;0,0,C51/D51-1)</f>
        <v>0</v>
      </c>
      <c r="E53" s="46"/>
    </row>
    <row r="54" spans="1:17" x14ac:dyDescent="0.35">
      <c r="A54" s="46"/>
      <c r="B54" s="46"/>
      <c r="C54" s="46"/>
      <c r="D54" s="48"/>
      <c r="E54" s="48"/>
    </row>
    <row r="55" spans="1:17" x14ac:dyDescent="0.35">
      <c r="A55" s="48" t="s">
        <v>19</v>
      </c>
      <c r="B55" s="46"/>
      <c r="C55" s="50">
        <f>D46</f>
        <v>9.6000000000000016E-2</v>
      </c>
      <c r="D55" s="49"/>
      <c r="E55" s="46"/>
      <c r="J55" s="70"/>
    </row>
    <row r="56" spans="1:17" x14ac:dyDescent="0.35">
      <c r="A56" s="48"/>
      <c r="B56" s="46"/>
      <c r="C56" s="50"/>
      <c r="D56" s="49"/>
      <c r="E56" s="46"/>
    </row>
    <row r="57" spans="1:17" hidden="1" x14ac:dyDescent="0.35">
      <c r="A57" s="48" t="s">
        <v>22</v>
      </c>
      <c r="B57" s="73">
        <v>0.108</v>
      </c>
      <c r="C57" s="50"/>
      <c r="D57" s="74">
        <f>SUM(H57:Q57)*1000</f>
        <v>6545917.9959678063</v>
      </c>
      <c r="E57" s="46"/>
      <c r="F57" s="1" t="s">
        <v>23</v>
      </c>
      <c r="H57" s="1">
        <f>G15/(1+$B$57)</f>
        <v>282.2712779783393</v>
      </c>
      <c r="I57" s="1">
        <f>H15/(1+$B$57)^2</f>
        <v>250.07963986888916</v>
      </c>
      <c r="J57" s="1">
        <f>I15/(1+$B$57)^3</f>
        <v>256.37203976553411</v>
      </c>
      <c r="K57" s="1">
        <f>J15/(1+$B$57)^4</f>
        <v>249.43085680894907</v>
      </c>
      <c r="L57" s="1">
        <f>K15/(1+$B$57)^5</f>
        <v>342.79716730967016</v>
      </c>
      <c r="M57" s="1">
        <f>L15/(1+$B$57)^6</f>
        <v>346.10268816107919</v>
      </c>
      <c r="N57" s="1">
        <f>M15/(1+$B$57)^7</f>
        <v>342.80281063811418</v>
      </c>
      <c r="O57" s="1">
        <f>N15/(1+$B$57)^8</f>
        <v>342.72546343354765</v>
      </c>
      <c r="P57" s="1">
        <f>O15/(1+$B$57)^9</f>
        <v>337.01042648098542</v>
      </c>
      <c r="Q57" s="1">
        <f>(Q15/(B57-Q12))/(1+B57)^10</f>
        <v>3796.3256255226988</v>
      </c>
    </row>
    <row r="58" spans="1:17" ht="16" thickBot="1" x14ac:dyDescent="0.4">
      <c r="A58" s="22"/>
      <c r="C58" s="65"/>
      <c r="D58" s="66"/>
    </row>
    <row r="59" spans="1:17" x14ac:dyDescent="0.35">
      <c r="A59" s="59" t="s">
        <v>42</v>
      </c>
      <c r="B59" s="23"/>
      <c r="C59" s="67">
        <v>24</v>
      </c>
      <c r="D59" s="23"/>
      <c r="E59" s="24"/>
    </row>
    <row r="60" spans="1:17" x14ac:dyDescent="0.35">
      <c r="A60" s="25" t="s">
        <v>21</v>
      </c>
      <c r="C60" s="68" t="s">
        <v>40</v>
      </c>
      <c r="E60" s="26"/>
    </row>
    <row r="61" spans="1:17" x14ac:dyDescent="0.35">
      <c r="A61" s="25"/>
      <c r="C61" s="68"/>
      <c r="E61" s="26"/>
    </row>
    <row r="62" spans="1:17" x14ac:dyDescent="0.35">
      <c r="A62" s="25" t="s">
        <v>37</v>
      </c>
      <c r="C62" s="68"/>
      <c r="E62" s="60">
        <f>P17*C59</f>
        <v>308.30828948802116</v>
      </c>
    </row>
    <row r="63" spans="1:17" x14ac:dyDescent="0.35">
      <c r="A63" s="25"/>
      <c r="C63" s="68"/>
      <c r="E63" s="26"/>
    </row>
    <row r="64" spans="1:17" x14ac:dyDescent="0.35">
      <c r="A64" s="25" t="s">
        <v>17</v>
      </c>
      <c r="C64" s="69">
        <v>0.5</v>
      </c>
      <c r="E64" s="26"/>
    </row>
    <row r="65" spans="1:5" x14ac:dyDescent="0.35">
      <c r="A65" s="25"/>
      <c r="E65" s="26"/>
    </row>
    <row r="66" spans="1:5" x14ac:dyDescent="0.35">
      <c r="A66" s="25" t="s">
        <v>18</v>
      </c>
      <c r="E66" s="60">
        <f>SUM(G17:Q17)*C64</f>
        <v>40.788566034631856</v>
      </c>
    </row>
    <row r="67" spans="1:5" x14ac:dyDescent="0.35">
      <c r="A67" s="25"/>
      <c r="E67" s="61"/>
    </row>
    <row r="68" spans="1:5" x14ac:dyDescent="0.35">
      <c r="A68" s="103" t="s">
        <v>48</v>
      </c>
      <c r="E68" s="104">
        <f>(E66*0.25)*-1</f>
        <v>-10.197141508657964</v>
      </c>
    </row>
    <row r="69" spans="1:5" x14ac:dyDescent="0.35">
      <c r="A69" s="25"/>
      <c r="C69" s="41"/>
      <c r="D69" s="41"/>
      <c r="E69" s="62"/>
    </row>
    <row r="70" spans="1:5" x14ac:dyDescent="0.35">
      <c r="A70" s="25" t="s">
        <v>43</v>
      </c>
      <c r="E70" s="60">
        <f>SUM(E62:E68)</f>
        <v>338.89971401399504</v>
      </c>
    </row>
    <row r="71" spans="1:5" x14ac:dyDescent="0.35">
      <c r="A71" s="25"/>
      <c r="E71" s="60"/>
    </row>
    <row r="72" spans="1:5" x14ac:dyDescent="0.35">
      <c r="A72" s="25" t="s">
        <v>44</v>
      </c>
      <c r="E72" s="62">
        <f>E70/C51-1</f>
        <v>2.0531505767026581</v>
      </c>
    </row>
    <row r="73" spans="1:5" x14ac:dyDescent="0.35">
      <c r="A73" s="25"/>
      <c r="E73" s="26"/>
    </row>
    <row r="74" spans="1:5" ht="16" thickBot="1" x14ac:dyDescent="0.4">
      <c r="A74" s="63" t="s">
        <v>45</v>
      </c>
      <c r="B74" s="64"/>
      <c r="C74" s="64"/>
      <c r="D74" s="64"/>
      <c r="E74" s="102">
        <f>(E70/C51)^(1/10)-1</f>
        <v>0.11808500321792348</v>
      </c>
    </row>
  </sheetData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conditionalFormatting sqref="G6:J8">
    <cfRule type="top10" dxfId="7" priority="5" percent="1" rank="10"/>
  </conditionalFormatting>
  <conditionalFormatting sqref="L2:L5">
    <cfRule type="top10" dxfId="6" priority="3" percent="1" rank="10"/>
  </conditionalFormatting>
  <conditionalFormatting sqref="L6:L8">
    <cfRule type="top10" dxfId="5" priority="6" percent="1" rank="10"/>
  </conditionalFormatting>
  <conditionalFormatting sqref="L9">
    <cfRule type="top10" dxfId="4" priority="4" percent="1" rank="10"/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52E19-683E-48EC-9C64-69D5A2053526}">
  <dimension ref="A2:AB74"/>
  <sheetViews>
    <sheetView tabSelected="1" zoomScaleNormal="100" workbookViewId="0">
      <selection activeCell="P13" sqref="P13"/>
    </sheetView>
  </sheetViews>
  <sheetFormatPr baseColWidth="10" defaultColWidth="10.58203125" defaultRowHeight="15.5" x14ac:dyDescent="0.35"/>
  <cols>
    <col min="1" max="1" width="27.08203125" style="1" bestFit="1" customWidth="1"/>
    <col min="2" max="2" width="32.33203125" style="1" customWidth="1"/>
    <col min="3" max="17" width="16.25" style="1" customWidth="1"/>
    <col min="18" max="18" width="10.58203125" style="1" customWidth="1"/>
    <col min="19" max="16384" width="10.58203125" style="1"/>
  </cols>
  <sheetData>
    <row r="2" spans="1:28" ht="26" x14ac:dyDescent="0.6">
      <c r="B2" s="31" t="s">
        <v>10</v>
      </c>
    </row>
    <row r="4" spans="1:28" x14ac:dyDescent="0.35">
      <c r="B4" s="22" t="s">
        <v>46</v>
      </c>
    </row>
    <row r="6" spans="1:28" x14ac:dyDescent="0.35">
      <c r="B6" s="1" t="s">
        <v>33</v>
      </c>
    </row>
    <row r="9" spans="1:28" s="8" customFormat="1" x14ac:dyDescent="0.35">
      <c r="G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35">
      <c r="A10" s="4"/>
      <c r="B10" s="4"/>
      <c r="C10" s="11">
        <v>2019</v>
      </c>
      <c r="D10" s="11">
        <v>2020</v>
      </c>
      <c r="E10" s="11">
        <v>2021</v>
      </c>
      <c r="F10" s="11">
        <v>2022</v>
      </c>
      <c r="G10" s="55">
        <v>2023</v>
      </c>
      <c r="H10" s="55">
        <v>2024</v>
      </c>
      <c r="I10" s="55">
        <v>2025</v>
      </c>
      <c r="J10" s="55">
        <v>2026</v>
      </c>
      <c r="K10" s="55">
        <v>2027</v>
      </c>
      <c r="L10" s="55">
        <v>2028</v>
      </c>
      <c r="M10" s="55">
        <v>2029</v>
      </c>
      <c r="N10" s="55">
        <v>2030</v>
      </c>
      <c r="O10" s="55">
        <v>2031</v>
      </c>
      <c r="P10" s="55">
        <v>2032</v>
      </c>
      <c r="Q10" s="55" t="s">
        <v>41</v>
      </c>
    </row>
    <row r="11" spans="1:28" x14ac:dyDescent="0.35">
      <c r="A11" s="5"/>
      <c r="B11" s="4" t="s">
        <v>4</v>
      </c>
      <c r="C11" s="82">
        <v>2242.3000000000002</v>
      </c>
      <c r="D11" s="82">
        <v>2209.6</v>
      </c>
      <c r="E11" s="82">
        <v>2551.3000000000002</v>
      </c>
      <c r="F11" s="82">
        <v>3616</v>
      </c>
      <c r="G11" s="72">
        <f t="shared" ref="G11" si="0">F11*(1+G12)</f>
        <v>3832.96</v>
      </c>
      <c r="H11" s="72">
        <f t="shared" ref="H11" si="1">G11*(1+H12)</f>
        <v>4062.9376000000002</v>
      </c>
      <c r="I11" s="72">
        <f t="shared" ref="I11" si="2">H11*(1+I12)</f>
        <v>4306.7138560000003</v>
      </c>
      <c r="J11" s="72">
        <f t="shared" ref="J11" si="3">I11*(1+J12)</f>
        <v>4565.1166873600005</v>
      </c>
      <c r="K11" s="72">
        <f t="shared" ref="K11" si="4">J11*(1+K12)</f>
        <v>4839.023688601601</v>
      </c>
      <c r="L11" s="72">
        <f t="shared" ref="L11" si="5">K11*(1+L12)</f>
        <v>5129.3651099176968</v>
      </c>
      <c r="M11" s="72">
        <f t="shared" ref="M11:Q11" si="6">L11*(1+M12)</f>
        <v>5437.1270165127589</v>
      </c>
      <c r="N11" s="72">
        <f t="shared" si="6"/>
        <v>5763.3546375035248</v>
      </c>
      <c r="O11" s="72">
        <f t="shared" si="6"/>
        <v>6109.1559157537367</v>
      </c>
      <c r="P11" s="72">
        <f t="shared" si="6"/>
        <v>6353.5221523838864</v>
      </c>
      <c r="Q11" s="72">
        <f t="shared" si="6"/>
        <v>6480.5925954315644</v>
      </c>
    </row>
    <row r="12" spans="1:28" x14ac:dyDescent="0.35">
      <c r="A12" s="5"/>
      <c r="B12" s="4" t="s">
        <v>1</v>
      </c>
      <c r="C12" s="86"/>
      <c r="D12" s="89">
        <f t="shared" ref="D12:F12" si="7">D11/C11-1</f>
        <v>-1.4583240422780253E-2</v>
      </c>
      <c r="E12" s="89">
        <f t="shared" si="7"/>
        <v>0.1546433743664013</v>
      </c>
      <c r="F12" s="89">
        <f t="shared" si="7"/>
        <v>0.41731666209383445</v>
      </c>
      <c r="G12" s="85">
        <v>0.06</v>
      </c>
      <c r="H12" s="85">
        <f>G12</f>
        <v>0.06</v>
      </c>
      <c r="I12" s="85">
        <f t="shared" ref="I12:O12" si="8">H12</f>
        <v>0.06</v>
      </c>
      <c r="J12" s="85">
        <f t="shared" si="8"/>
        <v>0.06</v>
      </c>
      <c r="K12" s="85">
        <f t="shared" si="8"/>
        <v>0.06</v>
      </c>
      <c r="L12" s="85">
        <f t="shared" si="8"/>
        <v>0.06</v>
      </c>
      <c r="M12" s="85">
        <f t="shared" si="8"/>
        <v>0.06</v>
      </c>
      <c r="N12" s="85">
        <f t="shared" si="8"/>
        <v>0.06</v>
      </c>
      <c r="O12" s="85">
        <f t="shared" si="8"/>
        <v>0.06</v>
      </c>
      <c r="P12" s="85">
        <v>0.04</v>
      </c>
      <c r="Q12" s="85">
        <v>0.02</v>
      </c>
    </row>
    <row r="13" spans="1:28" ht="16" customHeight="1" x14ac:dyDescent="0.35">
      <c r="A13" s="5"/>
      <c r="B13" s="4" t="s">
        <v>15</v>
      </c>
      <c r="C13" s="88">
        <v>0.28060000000000002</v>
      </c>
      <c r="D13" s="88">
        <v>0.17380000000000001</v>
      </c>
      <c r="E13" s="88">
        <v>0.1106</v>
      </c>
      <c r="F13" s="88">
        <v>5.1400000000000001E-2</v>
      </c>
      <c r="G13" s="84">
        <v>0.18540000000000001</v>
      </c>
      <c r="H13" s="84">
        <v>0.1847</v>
      </c>
      <c r="I13" s="84">
        <v>0.19289999999999999</v>
      </c>
      <c r="J13" s="84">
        <v>0.1852</v>
      </c>
      <c r="K13" s="84">
        <v>0.19</v>
      </c>
      <c r="L13" s="84">
        <v>0.19500000000000001</v>
      </c>
      <c r="M13" s="84">
        <v>0.2</v>
      </c>
      <c r="N13" s="84">
        <v>0.21</v>
      </c>
      <c r="O13" s="84">
        <v>0.22</v>
      </c>
      <c r="P13" s="84">
        <v>0.23</v>
      </c>
      <c r="Q13" s="84">
        <v>0.23</v>
      </c>
    </row>
    <row r="14" spans="1:28" ht="17.149999999999999" customHeight="1" x14ac:dyDescent="0.35">
      <c r="A14" s="5"/>
      <c r="B14" s="4" t="s">
        <v>16</v>
      </c>
      <c r="C14" s="82">
        <f>C11*C13</f>
        <v>629.18938000000014</v>
      </c>
      <c r="D14" s="82">
        <f t="shared" ref="D14:Q14" si="9">D11*D13</f>
        <v>384.02848</v>
      </c>
      <c r="E14" s="82">
        <f t="shared" si="9"/>
        <v>282.17378000000002</v>
      </c>
      <c r="F14" s="82">
        <f t="shared" si="9"/>
        <v>185.86240000000001</v>
      </c>
      <c r="G14" s="72">
        <f t="shared" si="9"/>
        <v>710.63078400000006</v>
      </c>
      <c r="H14" s="72">
        <f t="shared" si="9"/>
        <v>750.42457472000001</v>
      </c>
      <c r="I14" s="72">
        <f t="shared" si="9"/>
        <v>830.76510282239997</v>
      </c>
      <c r="J14" s="72">
        <f t="shared" si="9"/>
        <v>845.45961049907214</v>
      </c>
      <c r="K14" s="72">
        <f t="shared" si="9"/>
        <v>919.41450083430414</v>
      </c>
      <c r="L14" s="72">
        <f t="shared" si="9"/>
        <v>1000.2261964339509</v>
      </c>
      <c r="M14" s="72">
        <f t="shared" si="9"/>
        <v>1087.4254033025518</v>
      </c>
      <c r="N14" s="72">
        <f t="shared" si="9"/>
        <v>1210.3044738757401</v>
      </c>
      <c r="O14" s="72">
        <f>O11*O13</f>
        <v>1344.0143014658222</v>
      </c>
      <c r="P14" s="72">
        <f t="shared" si="9"/>
        <v>1461.310095048294</v>
      </c>
      <c r="Q14" s="72">
        <f t="shared" si="9"/>
        <v>1490.5362969492598</v>
      </c>
    </row>
    <row r="15" spans="1:28" x14ac:dyDescent="0.35">
      <c r="A15" s="100">
        <v>0.4</v>
      </c>
      <c r="B15" s="4" t="s">
        <v>39</v>
      </c>
      <c r="C15" s="82">
        <v>254.27682000000001</v>
      </c>
      <c r="D15" s="82">
        <v>250.12671999999998</v>
      </c>
      <c r="E15" s="82">
        <v>275.79553000000004</v>
      </c>
      <c r="F15" s="82">
        <v>341.71199999999999</v>
      </c>
      <c r="G15" s="72">
        <v>312.756576</v>
      </c>
      <c r="H15" s="72">
        <v>307.01377100000002</v>
      </c>
      <c r="I15" s="72">
        <v>348.73050599999993</v>
      </c>
      <c r="J15" s="72">
        <v>375.93193500000001</v>
      </c>
      <c r="K15" s="72">
        <f t="shared" ref="K15:Q15" si="10">K14*(1-$A$15)</f>
        <v>551.64870050058244</v>
      </c>
      <c r="L15" s="72">
        <f t="shared" si="10"/>
        <v>600.13571786037051</v>
      </c>
      <c r="M15" s="72">
        <f t="shared" si="10"/>
        <v>652.455241981531</v>
      </c>
      <c r="N15" s="72">
        <f t="shared" si="10"/>
        <v>726.18268432544403</v>
      </c>
      <c r="O15" s="72">
        <f>O14*(1-$A$15)</f>
        <v>806.40858087949334</v>
      </c>
      <c r="P15" s="72">
        <f t="shared" si="10"/>
        <v>876.78605702897642</v>
      </c>
      <c r="Q15" s="72">
        <f t="shared" si="10"/>
        <v>894.32177816955584</v>
      </c>
    </row>
    <row r="16" spans="1:28" ht="31.5" hidden="1" thickBot="1" x14ac:dyDescent="0.4">
      <c r="A16" s="13" t="s">
        <v>6</v>
      </c>
      <c r="B16" s="14"/>
      <c r="C16" s="15">
        <f t="shared" ref="C16:J16" si="11">C15/C14</f>
        <v>0.40413399857448318</v>
      </c>
      <c r="D16" s="15">
        <f t="shared" si="11"/>
        <v>0.65132336018411963</v>
      </c>
      <c r="E16" s="15">
        <f t="shared" si="11"/>
        <v>0.97739602169981921</v>
      </c>
      <c r="F16" s="15">
        <f t="shared" si="11"/>
        <v>1.83852140077821</v>
      </c>
      <c r="G16" s="15">
        <f t="shared" si="11"/>
        <v>0.44011121251960844</v>
      </c>
      <c r="H16" s="15">
        <f t="shared" si="11"/>
        <v>0.40912009193536025</v>
      </c>
      <c r="I16" s="15">
        <f t="shared" si="11"/>
        <v>0.4197702874317184</v>
      </c>
      <c r="J16" s="15">
        <f t="shared" si="11"/>
        <v>0.44464801195894926</v>
      </c>
    </row>
    <row r="17" spans="1:18" x14ac:dyDescent="0.35">
      <c r="A17" s="2" t="s">
        <v>36</v>
      </c>
      <c r="C17" s="82"/>
      <c r="D17" s="82"/>
      <c r="E17" s="82"/>
      <c r="F17" s="82"/>
      <c r="G17" s="72">
        <f>G15/G18</f>
        <v>4.3988266666666673</v>
      </c>
      <c r="H17" s="72">
        <f t="shared" ref="H17:O17" si="12">H15/H18</f>
        <v>4.318055850914206</v>
      </c>
      <c r="I17" s="72">
        <f t="shared" si="12"/>
        <v>4.9047891139240498</v>
      </c>
      <c r="J17" s="72">
        <f t="shared" si="12"/>
        <v>5.2873689873417726</v>
      </c>
      <c r="K17" s="72">
        <f t="shared" si="12"/>
        <v>7.7587721589392755</v>
      </c>
      <c r="L17" s="72">
        <f t="shared" si="12"/>
        <v>8.4407273960670963</v>
      </c>
      <c r="M17" s="72">
        <f t="shared" si="12"/>
        <v>9.1765856818780733</v>
      </c>
      <c r="N17" s="72">
        <f t="shared" si="12"/>
        <v>10.213539863930297</v>
      </c>
      <c r="O17" s="72">
        <f t="shared" si="12"/>
        <v>11.341892839374028</v>
      </c>
      <c r="P17" s="72">
        <f>P15/P18</f>
        <v>12.331730759901216</v>
      </c>
      <c r="Q17" s="72"/>
    </row>
    <row r="18" spans="1:18" ht="31.5" thickBot="1" x14ac:dyDescent="0.4">
      <c r="A18" s="2" t="s">
        <v>38</v>
      </c>
      <c r="C18" s="82"/>
      <c r="D18" s="82"/>
      <c r="E18" s="82"/>
      <c r="F18" s="82"/>
      <c r="G18" s="72">
        <f>C50</f>
        <v>71.099999999999994</v>
      </c>
      <c r="H18" s="72">
        <f>G18*1</f>
        <v>71.099999999999994</v>
      </c>
      <c r="I18" s="72">
        <f t="shared" ref="I18:P18" si="13">H18*1</f>
        <v>71.099999999999994</v>
      </c>
      <c r="J18" s="72">
        <f t="shared" si="13"/>
        <v>71.099999999999994</v>
      </c>
      <c r="K18" s="72">
        <f t="shared" si="13"/>
        <v>71.099999999999994</v>
      </c>
      <c r="L18" s="72">
        <f t="shared" si="13"/>
        <v>71.099999999999994</v>
      </c>
      <c r="M18" s="72">
        <f t="shared" si="13"/>
        <v>71.099999999999994</v>
      </c>
      <c r="N18" s="72">
        <f t="shared" si="13"/>
        <v>71.099999999999994</v>
      </c>
      <c r="O18" s="72">
        <f t="shared" si="13"/>
        <v>71.099999999999994</v>
      </c>
      <c r="P18" s="72">
        <f t="shared" si="13"/>
        <v>71.099999999999994</v>
      </c>
      <c r="Q18" s="72"/>
    </row>
    <row r="19" spans="1:18" ht="16" thickBot="1" x14ac:dyDescent="0.4">
      <c r="A19" s="2"/>
      <c r="E19" s="51" t="s">
        <v>12</v>
      </c>
      <c r="F19" s="52"/>
      <c r="G19" s="53">
        <f>G15/(1+$C$55)</f>
        <v>285.36183941605839</v>
      </c>
      <c r="H19" s="53">
        <f>H15/(1+$C$55)^2</f>
        <v>255.5858155402525</v>
      </c>
      <c r="I19" s="53">
        <f>I15/(1+$C$55)^3</f>
        <v>264.88555617655362</v>
      </c>
      <c r="J19" s="53">
        <f>J15/(1+$C$55)^4</f>
        <v>260.53555749066237</v>
      </c>
      <c r="K19" s="53">
        <f>K15/(1+$C$55)^5</f>
        <v>348.82678778046551</v>
      </c>
      <c r="L19" s="53">
        <f>L15/(1+$C$55)^6</f>
        <v>346.24710446706791</v>
      </c>
      <c r="M19" s="53">
        <f>M15/(1+$C$55)^7</f>
        <v>343.46053783931495</v>
      </c>
      <c r="N19" s="53">
        <f>N15/(1+$C$55)^8</f>
        <v>348.7879366926619</v>
      </c>
      <c r="O19" s="53">
        <f>O15/(1+$C$55)^9</f>
        <v>353.39479856069158</v>
      </c>
      <c r="P19" s="53">
        <f>P15/(1+$C$55)^10</f>
        <v>350.58077229478027</v>
      </c>
      <c r="Q19" s="54">
        <f>(Q15/(C55-Q12))/(1+C55)^10</f>
        <v>4705.1629965878392</v>
      </c>
    </row>
    <row r="20" spans="1:18" x14ac:dyDescent="0.35">
      <c r="A20" s="2"/>
      <c r="C20" s="75"/>
      <c r="D20" s="42"/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35">
      <c r="A21" s="2"/>
      <c r="J21" s="101"/>
      <c r="K21" s="101"/>
      <c r="L21" s="101"/>
      <c r="M21" s="101"/>
      <c r="N21" s="101"/>
      <c r="O21" s="101"/>
      <c r="P21" s="101"/>
      <c r="Q21" s="101"/>
      <c r="R21" s="3"/>
    </row>
    <row r="22" spans="1:18" ht="16" thickBot="1" x14ac:dyDescent="0.4">
      <c r="P22" s="3"/>
      <c r="Q22" s="3"/>
      <c r="R22" s="3"/>
    </row>
    <row r="23" spans="1:18" x14ac:dyDescent="0.35">
      <c r="A23" s="32" t="s">
        <v>24</v>
      </c>
      <c r="B23" s="33"/>
      <c r="C23" s="33"/>
      <c r="D23" s="34"/>
      <c r="E23" s="23"/>
      <c r="F23" s="33"/>
      <c r="G23" s="59" t="s">
        <v>25</v>
      </c>
      <c r="H23" s="23"/>
      <c r="I23" s="78">
        <v>3.7499999999999999E-2</v>
      </c>
      <c r="J23" s="24" t="s">
        <v>26</v>
      </c>
    </row>
    <row r="24" spans="1:18" x14ac:dyDescent="0.35">
      <c r="A24" s="35"/>
      <c r="B24" s="36"/>
      <c r="C24" s="36"/>
      <c r="D24" s="37"/>
      <c r="E24" s="36"/>
      <c r="F24" s="36"/>
      <c r="G24" s="25"/>
      <c r="I24" s="79"/>
      <c r="J24" s="26"/>
    </row>
    <row r="25" spans="1:18" x14ac:dyDescent="0.35">
      <c r="A25" s="35"/>
      <c r="B25" s="36"/>
      <c r="C25" s="36"/>
      <c r="D25" s="38"/>
      <c r="F25" s="36"/>
      <c r="G25" s="25" t="s">
        <v>27</v>
      </c>
      <c r="I25" s="80">
        <f>(I27-I23)*I29</f>
        <v>5.8500000000000017E-2</v>
      </c>
      <c r="J25" s="26"/>
    </row>
    <row r="26" spans="1:18" x14ac:dyDescent="0.35">
      <c r="A26" s="35"/>
      <c r="B26" s="36"/>
      <c r="C26" s="36"/>
      <c r="D26" s="38"/>
      <c r="F26" s="36"/>
      <c r="G26" s="25"/>
      <c r="I26" s="79"/>
      <c r="J26" s="26"/>
    </row>
    <row r="27" spans="1:18" x14ac:dyDescent="0.35">
      <c r="A27" s="35"/>
      <c r="B27" s="36"/>
      <c r="C27" s="36"/>
      <c r="D27" s="38"/>
      <c r="F27" s="36"/>
      <c r="G27" s="25" t="s">
        <v>28</v>
      </c>
      <c r="I27" s="81">
        <v>7.0000000000000007E-2</v>
      </c>
      <c r="J27" s="26" t="s">
        <v>29</v>
      </c>
    </row>
    <row r="28" spans="1:18" x14ac:dyDescent="0.35">
      <c r="A28" s="35"/>
      <c r="B28" s="36"/>
      <c r="C28" s="36"/>
      <c r="D28" s="39"/>
      <c r="F28" s="36"/>
      <c r="G28" s="25"/>
      <c r="I28" s="79"/>
      <c r="J28" s="26"/>
    </row>
    <row r="29" spans="1:18" x14ac:dyDescent="0.35">
      <c r="A29" s="35"/>
      <c r="B29" s="36"/>
      <c r="C29" s="36"/>
      <c r="D29" s="39"/>
      <c r="F29" s="36"/>
      <c r="G29" s="25" t="s">
        <v>35</v>
      </c>
      <c r="I29" s="79">
        <v>1.8</v>
      </c>
      <c r="J29" s="26" t="s">
        <v>30</v>
      </c>
    </row>
    <row r="30" spans="1:18" x14ac:dyDescent="0.35">
      <c r="A30" s="35"/>
      <c r="B30" s="36"/>
      <c r="C30" s="36"/>
      <c r="D30" s="40"/>
      <c r="F30" s="36"/>
      <c r="G30" s="25"/>
      <c r="I30" s="79"/>
      <c r="J30" s="26"/>
    </row>
    <row r="31" spans="1:18" x14ac:dyDescent="0.35">
      <c r="A31" s="35"/>
      <c r="B31" s="36"/>
      <c r="C31" s="36"/>
      <c r="D31" s="37"/>
      <c r="F31" s="36"/>
      <c r="G31" s="25" t="s">
        <v>31</v>
      </c>
      <c r="I31" s="81">
        <f>I23+(I27-I23)*I29</f>
        <v>9.6000000000000016E-2</v>
      </c>
      <c r="J31" s="26" t="s">
        <v>32</v>
      </c>
    </row>
    <row r="32" spans="1:18" x14ac:dyDescent="0.35">
      <c r="A32" s="25"/>
      <c r="C32" s="41"/>
      <c r="E32" s="36"/>
      <c r="F32" s="36"/>
      <c r="G32" s="25"/>
      <c r="J32" s="26"/>
    </row>
    <row r="33" spans="1:10" x14ac:dyDescent="0.35">
      <c r="A33" s="25"/>
      <c r="G33" s="76" t="s">
        <v>34</v>
      </c>
      <c r="H33" s="22"/>
      <c r="I33" s="77">
        <f>I31</f>
        <v>9.6000000000000016E-2</v>
      </c>
      <c r="J33" s="26"/>
    </row>
    <row r="34" spans="1:10" x14ac:dyDescent="0.35">
      <c r="A34" s="35" t="s">
        <v>7</v>
      </c>
      <c r="B34" s="36"/>
      <c r="C34" s="42"/>
      <c r="D34" s="27"/>
      <c r="G34" s="25"/>
      <c r="J34" s="26"/>
    </row>
    <row r="35" spans="1:10" ht="15.75" hidden="1" customHeight="1" x14ac:dyDescent="0.35">
      <c r="A35" s="25"/>
      <c r="G35" s="25"/>
      <c r="J35" s="26"/>
    </row>
    <row r="36" spans="1:10" ht="15.75" hidden="1" customHeight="1" x14ac:dyDescent="0.35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35">
      <c r="A37" s="25"/>
      <c r="G37" s="25"/>
      <c r="J37" s="26"/>
    </row>
    <row r="38" spans="1:10" ht="15.75" hidden="1" customHeight="1" x14ac:dyDescent="0.35">
      <c r="A38" s="25"/>
      <c r="G38" s="25"/>
      <c r="J38" s="26"/>
    </row>
    <row r="39" spans="1:10" ht="15.75" hidden="1" customHeight="1" x14ac:dyDescent="0.35">
      <c r="A39" s="25"/>
      <c r="G39" s="25"/>
      <c r="J39" s="26"/>
    </row>
    <row r="40" spans="1:10" hidden="1" x14ac:dyDescent="0.35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35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35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35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35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35">
      <c r="A45" s="25"/>
      <c r="G45" s="25"/>
      <c r="J45" s="26"/>
    </row>
    <row r="46" spans="1:10" ht="16" thickBot="1" x14ac:dyDescent="0.4">
      <c r="A46" s="28"/>
      <c r="B46" s="29" t="s">
        <v>20</v>
      </c>
      <c r="C46" s="29"/>
      <c r="D46" s="44">
        <f>I33</f>
        <v>9.6000000000000016E-2</v>
      </c>
      <c r="E46" s="29"/>
      <c r="F46" s="29"/>
      <c r="G46" s="28"/>
      <c r="H46" s="29"/>
      <c r="I46" s="29"/>
      <c r="J46" s="30"/>
    </row>
    <row r="48" spans="1:10" x14ac:dyDescent="0.35">
      <c r="A48" s="16"/>
      <c r="B48" s="17"/>
      <c r="C48" s="83">
        <v>45115</v>
      </c>
      <c r="D48" s="18" t="s">
        <v>3</v>
      </c>
      <c r="E48" s="19"/>
      <c r="F48" s="20"/>
      <c r="G48" s="21"/>
      <c r="H48" s="21"/>
      <c r="I48" s="21"/>
    </row>
    <row r="49" spans="1:17" x14ac:dyDescent="0.35">
      <c r="A49" s="45" t="s">
        <v>0</v>
      </c>
      <c r="B49" s="46" t="s">
        <v>5</v>
      </c>
      <c r="C49" s="56">
        <f>C50*C51</f>
        <v>7892.0999999999995</v>
      </c>
      <c r="D49" s="47">
        <f>SUM(G19:Q19)</f>
        <v>7862.8297028463476</v>
      </c>
      <c r="E49" s="46" t="s">
        <v>47</v>
      </c>
    </row>
    <row r="50" spans="1:17" x14ac:dyDescent="0.35">
      <c r="A50" s="45"/>
      <c r="B50" s="46" t="s">
        <v>11</v>
      </c>
      <c r="C50" s="56">
        <v>71.099999999999994</v>
      </c>
      <c r="D50" s="56">
        <f>C50</f>
        <v>71.099999999999994</v>
      </c>
      <c r="E50" s="46"/>
    </row>
    <row r="51" spans="1:17" x14ac:dyDescent="0.35">
      <c r="A51" s="45"/>
      <c r="B51" s="46" t="s">
        <v>13</v>
      </c>
      <c r="C51" s="87">
        <v>111</v>
      </c>
      <c r="D51" s="87">
        <f>D49/(D50)</f>
        <v>110.58832212160827</v>
      </c>
      <c r="E51" s="46" t="s">
        <v>47</v>
      </c>
    </row>
    <row r="52" spans="1:17" x14ac:dyDescent="0.35">
      <c r="A52" s="45"/>
      <c r="B52" s="46" t="s">
        <v>2</v>
      </c>
      <c r="C52" s="46"/>
      <c r="D52" s="57">
        <f>IF(C51/D51-1&gt;0,0,C51/D51-1)*-1</f>
        <v>0</v>
      </c>
      <c r="E52" s="46"/>
    </row>
    <row r="53" spans="1:17" x14ac:dyDescent="0.35">
      <c r="A53" s="45"/>
      <c r="B53" s="46" t="s">
        <v>14</v>
      </c>
      <c r="C53" s="46"/>
      <c r="D53" s="58">
        <f>IF(C51/D51-1&lt;0,0,C51/D51-1)</f>
        <v>3.7226161903336497E-3</v>
      </c>
      <c r="E53" s="46"/>
    </row>
    <row r="54" spans="1:17" x14ac:dyDescent="0.35">
      <c r="A54" s="46"/>
      <c r="B54" s="46"/>
      <c r="C54" s="46"/>
      <c r="D54" s="48"/>
      <c r="E54" s="48"/>
    </row>
    <row r="55" spans="1:17" x14ac:dyDescent="0.35">
      <c r="A55" s="48" t="s">
        <v>19</v>
      </c>
      <c r="B55" s="46"/>
      <c r="C55" s="50">
        <f>D46</f>
        <v>9.6000000000000016E-2</v>
      </c>
      <c r="D55" s="49"/>
      <c r="E55" s="46"/>
      <c r="J55" s="70"/>
    </row>
    <row r="56" spans="1:17" x14ac:dyDescent="0.35">
      <c r="A56" s="48"/>
      <c r="B56" s="46"/>
      <c r="C56" s="50"/>
      <c r="D56" s="49"/>
      <c r="E56" s="46"/>
    </row>
    <row r="57" spans="1:17" hidden="1" x14ac:dyDescent="0.35">
      <c r="A57" s="48" t="s">
        <v>22</v>
      </c>
      <c r="B57" s="73">
        <v>0.108</v>
      </c>
      <c r="C57" s="50"/>
      <c r="D57" s="74">
        <f>SUM(H57:Q57)*1000</f>
        <v>6295484.1698131552</v>
      </c>
      <c r="E57" s="46"/>
      <c r="F57" s="1" t="s">
        <v>23</v>
      </c>
      <c r="H57" s="1">
        <f>G15/(1+$B$57)</f>
        <v>282.2712779783393</v>
      </c>
      <c r="I57" s="1">
        <f>H15/(1+$B$57)^2</f>
        <v>250.07963986888916</v>
      </c>
      <c r="J57" s="1">
        <f>I15/(1+$B$57)^3</f>
        <v>256.37203976553411</v>
      </c>
      <c r="K57" s="1">
        <f>J15/(1+$B$57)^4</f>
        <v>249.43085680894907</v>
      </c>
      <c r="L57" s="1">
        <f>K15/(1+$B$57)^5</f>
        <v>330.34200279997884</v>
      </c>
      <c r="M57" s="1">
        <f>L15/(1+$B$57)^6</f>
        <v>324.34776733210919</v>
      </c>
      <c r="N57" s="1">
        <f>M15/(1+$B$57)^7</f>
        <v>318.25292360643869</v>
      </c>
      <c r="O57" s="1">
        <f>N15/(1+$B$57)^8</f>
        <v>319.68908300899471</v>
      </c>
      <c r="P57" s="1">
        <f>O15/(1+$B$57)^9</f>
        <v>320.40353342658409</v>
      </c>
      <c r="Q57" s="1">
        <f>(Q15/(B57-Q12))/(1+B57)^10</f>
        <v>3644.2950452173377</v>
      </c>
    </row>
    <row r="58" spans="1:17" ht="16" thickBot="1" x14ac:dyDescent="0.4">
      <c r="A58" s="22"/>
      <c r="C58" s="65"/>
      <c r="D58" s="66"/>
    </row>
    <row r="59" spans="1:17" x14ac:dyDescent="0.35">
      <c r="A59" s="59" t="s">
        <v>42</v>
      </c>
      <c r="B59" s="23"/>
      <c r="C59" s="67">
        <v>21</v>
      </c>
      <c r="D59" s="23"/>
      <c r="E59" s="24"/>
    </row>
    <row r="60" spans="1:17" x14ac:dyDescent="0.35">
      <c r="A60" s="25" t="s">
        <v>21</v>
      </c>
      <c r="C60" s="68"/>
      <c r="E60" s="26"/>
    </row>
    <row r="61" spans="1:17" x14ac:dyDescent="0.35">
      <c r="A61" s="25"/>
      <c r="C61" s="68"/>
      <c r="E61" s="26"/>
    </row>
    <row r="62" spans="1:17" x14ac:dyDescent="0.35">
      <c r="A62" s="25" t="s">
        <v>37</v>
      </c>
      <c r="C62" s="68"/>
      <c r="E62" s="60">
        <f>P17*C59</f>
        <v>258.96634595792551</v>
      </c>
    </row>
    <row r="63" spans="1:17" x14ac:dyDescent="0.35">
      <c r="A63" s="25"/>
      <c r="C63" s="68"/>
      <c r="E63" s="26"/>
    </row>
    <row r="64" spans="1:17" x14ac:dyDescent="0.35">
      <c r="A64" s="25" t="s">
        <v>17</v>
      </c>
      <c r="C64" s="69">
        <v>0.5</v>
      </c>
      <c r="E64" s="26"/>
    </row>
    <row r="65" spans="1:5" x14ac:dyDescent="0.35">
      <c r="A65" s="25"/>
      <c r="E65" s="26"/>
    </row>
    <row r="66" spans="1:5" x14ac:dyDescent="0.35">
      <c r="A66" s="25" t="s">
        <v>18</v>
      </c>
      <c r="E66" s="60">
        <f>SUM(G17:Q17)*C64</f>
        <v>39.086144659468346</v>
      </c>
    </row>
    <row r="67" spans="1:5" x14ac:dyDescent="0.35">
      <c r="A67" s="25"/>
      <c r="E67" s="61"/>
    </row>
    <row r="68" spans="1:5" x14ac:dyDescent="0.35">
      <c r="A68" s="103" t="s">
        <v>48</v>
      </c>
      <c r="E68" s="104">
        <f>(E66*0.25)*-1</f>
        <v>-9.7715361648670864</v>
      </c>
    </row>
    <row r="69" spans="1:5" x14ac:dyDescent="0.35">
      <c r="A69" s="25"/>
      <c r="C69" s="41"/>
      <c r="D69" s="41"/>
      <c r="E69" s="62"/>
    </row>
    <row r="70" spans="1:5" x14ac:dyDescent="0.35">
      <c r="A70" s="25" t="s">
        <v>43</v>
      </c>
      <c r="E70" s="60">
        <f>SUM(E62:E68)</f>
        <v>288.28095445252677</v>
      </c>
    </row>
    <row r="71" spans="1:5" x14ac:dyDescent="0.35">
      <c r="A71" s="25"/>
      <c r="E71" s="60"/>
    </row>
    <row r="72" spans="1:5" x14ac:dyDescent="0.35">
      <c r="A72" s="25" t="s">
        <v>44</v>
      </c>
      <c r="E72" s="62">
        <f>E70/C51-1</f>
        <v>1.5971257157885295</v>
      </c>
    </row>
    <row r="73" spans="1:5" x14ac:dyDescent="0.35">
      <c r="A73" s="25"/>
      <c r="E73" s="26"/>
    </row>
    <row r="74" spans="1:5" ht="16" thickBot="1" x14ac:dyDescent="0.4">
      <c r="A74" s="63" t="s">
        <v>45</v>
      </c>
      <c r="B74" s="64"/>
      <c r="C74" s="64"/>
      <c r="D74" s="64"/>
      <c r="E74" s="102">
        <f>(E70/C51)^(1/10)-1</f>
        <v>0.10014339891635138</v>
      </c>
    </row>
  </sheetData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conditionalFormatting sqref="G6:J8">
    <cfRule type="top10" dxfId="3" priority="5" percent="1" rank="10"/>
  </conditionalFormatting>
  <conditionalFormatting sqref="L2:L5">
    <cfRule type="top10" dxfId="2" priority="3" percent="1" rank="10"/>
  </conditionalFormatting>
  <conditionalFormatting sqref="L6:L8">
    <cfRule type="top10" dxfId="1" priority="6" percent="1" rank="10"/>
  </conditionalFormatting>
  <conditionalFormatting sqref="L9">
    <cfRule type="top10" dxfId="0" priority="4" percent="1" rank="10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Pessimistisch</vt:lpstr>
      <vt:lpstr>Optimistisch</vt:lpstr>
      <vt:lpstr>Wachstum für faire Bewertung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Robert Hahn</cp:lastModifiedBy>
  <cp:lastPrinted>2021-08-03T18:16:56Z</cp:lastPrinted>
  <dcterms:created xsi:type="dcterms:W3CDTF">2020-02-09T06:30:31Z</dcterms:created>
  <dcterms:modified xsi:type="dcterms:W3CDTF">2023-07-08T08:06:30Z</dcterms:modified>
</cp:coreProperties>
</file>