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4F32A801-62E5-48B2-8811-A5BB4F044568}" xr6:coauthVersionLast="44" xr6:coauthVersionMax="44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35" l="1"/>
  <c r="J18" i="35"/>
  <c r="K18" i="35" s="1"/>
  <c r="L18" i="35" s="1"/>
  <c r="M18" i="35" s="1"/>
  <c r="N18" i="35" s="1"/>
  <c r="O18" i="35" s="1"/>
  <c r="P18" i="35" s="1"/>
  <c r="H18" i="35"/>
  <c r="I18" i="32"/>
  <c r="J18" i="32" s="1"/>
  <c r="K18" i="32" s="1"/>
  <c r="L18" i="32" s="1"/>
  <c r="M18" i="32" s="1"/>
  <c r="N18" i="32" s="1"/>
  <c r="O18" i="32" s="1"/>
  <c r="P18" i="32" s="1"/>
  <c r="H18" i="32"/>
  <c r="H12" i="34" l="1"/>
  <c r="I12" i="34"/>
  <c r="J12" i="34"/>
  <c r="H12" i="32"/>
  <c r="I12" i="32"/>
  <c r="J12" i="32"/>
  <c r="G11" i="35"/>
  <c r="K11" i="32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G14" i="32" l="1"/>
  <c r="H14" i="32"/>
  <c r="I14" i="32"/>
  <c r="D14" i="32"/>
  <c r="E14" i="32"/>
  <c r="F14" i="32"/>
  <c r="C14" i="32"/>
  <c r="I25" i="32" l="1"/>
  <c r="G12" i="34" l="1"/>
  <c r="E12" i="34"/>
  <c r="F12" i="34"/>
  <c r="D12" i="34"/>
  <c r="D12" i="32" l="1"/>
  <c r="E12" i="32"/>
  <c r="F12" i="32"/>
  <c r="G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2" l="1"/>
  <c r="J19" i="32" l="1"/>
  <c r="K57" i="32"/>
  <c r="J16" i="32"/>
  <c r="J17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  <c r="I14" i="34"/>
  <c r="J14" i="34"/>
  <c r="K11" i="34" l="1"/>
  <c r="K14" i="34" s="1"/>
  <c r="K15" i="34" s="1"/>
  <c r="K17" i="34" s="1"/>
  <c r="K19" i="34" l="1"/>
  <c r="L11" i="34"/>
  <c r="L14" i="34" s="1"/>
  <c r="L15" i="34" s="1"/>
  <c r="L57" i="34"/>
  <c r="J19" i="34"/>
  <c r="K57" i="34"/>
  <c r="J17" i="34"/>
  <c r="J16" i="34"/>
  <c r="I19" i="34"/>
  <c r="I17" i="34"/>
  <c r="J57" i="34"/>
  <c r="I16" i="34"/>
  <c r="M11" i="34" l="1"/>
  <c r="M14" i="34"/>
  <c r="M15" i="34" s="1"/>
  <c r="N11" i="34"/>
  <c r="M57" i="34"/>
  <c r="L17" i="34"/>
  <c r="L19" i="34"/>
  <c r="O11" i="34" l="1"/>
  <c r="N14" i="34"/>
  <c r="N15" i="34" s="1"/>
  <c r="M19" i="34"/>
  <c r="M17" i="34"/>
  <c r="N57" i="34"/>
  <c r="O57" i="34" l="1"/>
  <c r="N19" i="34"/>
  <c r="N17" i="34"/>
  <c r="P11" i="34"/>
  <c r="O14" i="34"/>
  <c r="O15" i="34" s="1"/>
  <c r="O19" i="34" l="1"/>
  <c r="P57" i="34"/>
  <c r="O17" i="34"/>
  <c r="Q11" i="34"/>
  <c r="Q14" i="34" s="1"/>
  <c r="Q15" i="34" s="1"/>
  <c r="P14" i="34"/>
  <c r="P15" i="34" s="1"/>
  <c r="P17" i="34" l="1"/>
  <c r="P19" i="34"/>
  <c r="D44" i="34"/>
  <c r="D43" i="34"/>
  <c r="D40" i="34"/>
  <c r="D41" i="34"/>
  <c r="D42" i="34"/>
  <c r="Q57" i="34"/>
  <c r="D57" i="34" s="1"/>
  <c r="Q19" i="34"/>
  <c r="D49" i="34" l="1"/>
  <c r="D51" i="34" s="1"/>
  <c r="D52" i="34" s="1"/>
  <c r="E62" i="34"/>
  <c r="E66" i="34"/>
  <c r="E68" i="34" s="1"/>
  <c r="D53" i="34" l="1"/>
  <c r="E70" i="34"/>
  <c r="E72" i="34" s="1"/>
  <c r="E74" i="34" l="1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<sst xmlns="http://schemas.openxmlformats.org/spreadsheetml/2006/main" count="148" uniqueCount="49">
  <si>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</si>
  <si>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</si>
  <si>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</si>
  <si>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</si>
  <si>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</si>
  <si>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</si>
  <si>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</si>
  <si>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</si>
  <si>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</si>
  <si>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</si>
  <si>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</si>
  <si>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</si>
  <si>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</si>
  <si>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</si>
  <si>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</si>
  <si>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</si>
  <si>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</si>
  <si>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</si>
  <si>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</si>
  <si>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</si>
  <si>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</si>
  <si>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</si>
  <si>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</si>
  <si>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</si>
  <si>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</si>
  <si>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</si>
  <si>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</si>
  <si>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</si>
  <si>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</si>
  <si>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</si>
  <si>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</si>
  <si>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</si>
  <si>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</si>
  <si>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</si>
  <si>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</si>
  <si>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</si>
  <si>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</si>
  <si>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</si>
  <si>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</si>
  <si>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</si>
  <si>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</si>
  <si>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</si>
  <si>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</si>
  <si>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</si>
  <si>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</si>
  <si>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</si>
  <si>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EUR</t>
  </si>
  <si>
    <t>Quellensteuer USA (25 %)</t>
  </si>
  <si>
    <t xml:space="preserve"> Annahmen für Pfizer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</si>
</sst>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34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51750</v>
      </c>
      <c r="D11" s="82">
        <v>41908</v>
      </c>
      <c r="E11" s="82">
        <v>81288</v>
      </c>
      <c r="F11" s="82">
        <v>100330</v>
      </c>
      <c r="G11" s="72">
        <v>67775.179999999993</v>
      </c>
      <c r="H11" s="72">
        <v>67957.98</v>
      </c>
      <c r="I11" s="72">
        <v>69122.740000000005</v>
      </c>
      <c r="J11" s="72">
        <v>71161.33</v>
      </c>
      <c r="K11" s="72">
        <f>J11*(1+K12)</f>
        <v>72940.363249999995</v>
      </c>
      <c r="L11" s="72">
        <f t="shared" ref="L11:Q11" si="0">K11*(1+L12)</f>
        <v>74763.872331249993</v>
      </c>
      <c r="M11" s="72">
        <f t="shared" si="0"/>
        <v>76632.96913953124</v>
      </c>
      <c r="N11" s="72">
        <f t="shared" si="0"/>
        <v>78548.793368019513</v>
      </c>
      <c r="O11" s="72">
        <f t="shared" si="0"/>
        <v>80512.513202219998</v>
      </c>
      <c r="P11" s="72">
        <f t="shared" si="0"/>
        <v>82122.763466264398</v>
      </c>
      <c r="Q11" s="72">
        <f t="shared" si="0"/>
        <v>83354.604918258352</v>
      </c>
    </row>
    <row r="12" spans="1:28" x14ac:dyDescent="0.25">
      <c r="A12" s="5"/>
      <c r="B12" s="4" t="s">
        <v>1</v>
      </c>
      <c r="C12" s="86"/>
      <c r="D12" s="89">
        <f t="shared" ref="D12:J12" si="1">D11/C11-1</f>
        <v>-0.1901835748792271</v>
      </c>
      <c r="E12" s="89">
        <f t="shared" si="1"/>
        <v>0.93967738856542904</v>
      </c>
      <c r="F12" s="89">
        <f t="shared" si="1"/>
        <v>0.23425351835449271</v>
      </c>
      <c r="G12" s="85">
        <f t="shared" si="1"/>
        <v>-0.32447742449915284</v>
      </c>
      <c r="H12" s="85">
        <f t="shared" si="1"/>
        <v>2.6971525564374321E-3</v>
      </c>
      <c r="I12" s="85">
        <f t="shared" si="1"/>
        <v>1.7139414679482989E-2</v>
      </c>
      <c r="J12" s="85">
        <f t="shared" si="1"/>
        <v>2.94923204722497E-2</v>
      </c>
      <c r="K12" s="71">
        <v>2.5000000000000001E-2</v>
      </c>
      <c r="L12" s="71">
        <v>2.5000000000000001E-2</v>
      </c>
      <c r="M12" s="71">
        <v>2.5000000000000001E-2</v>
      </c>
      <c r="N12" s="71">
        <v>2.5000000000000001E-2</v>
      </c>
      <c r="O12" s="71">
        <v>2.5000000000000001E-2</v>
      </c>
      <c r="P12" s="71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8">
        <v>0.27279999999999999</v>
      </c>
      <c r="D13" s="88">
        <v>0.2152</v>
      </c>
      <c r="E13" s="88">
        <v>0.25580000000000003</v>
      </c>
      <c r="F13" s="88">
        <v>0.37430000000000002</v>
      </c>
      <c r="G13" s="84">
        <v>0.30359999999999998</v>
      </c>
      <c r="H13" s="84">
        <v>0.31719999999999998</v>
      </c>
      <c r="I13" s="84">
        <v>0.32229999999999998</v>
      </c>
      <c r="J13" s="84">
        <v>0.33300000000000002</v>
      </c>
      <c r="K13" s="84">
        <v>0.33</v>
      </c>
      <c r="L13" s="84">
        <v>0.33</v>
      </c>
      <c r="M13" s="84">
        <v>0.33</v>
      </c>
      <c r="N13" s="84">
        <v>0.33</v>
      </c>
      <c r="O13" s="84">
        <v>0.33</v>
      </c>
      <c r="P13" s="84">
        <v>0.33</v>
      </c>
      <c r="Q13" s="84">
        <v>0.33</v>
      </c>
    </row>
    <row r="14" spans="1:28" ht="17.100000000000001" customHeight="1" x14ac:dyDescent="0.25">
      <c r="A14" s="5"/>
      <c r="B14" s="4" t="s">
        <v>16</v>
      </c>
      <c r="C14" s="82">
        <f>C11*C13</f>
        <v>14117.4</v>
      </c>
      <c r="D14" s="82">
        <f t="shared" ref="D14:I14" si="2">D11*D13</f>
        <v>9018.6016</v>
      </c>
      <c r="E14" s="82">
        <f t="shared" si="2"/>
        <v>20793.470400000002</v>
      </c>
      <c r="F14" s="82">
        <f t="shared" si="2"/>
        <v>37553.519</v>
      </c>
      <c r="G14" s="72">
        <f t="shared" si="2"/>
        <v>20576.544647999996</v>
      </c>
      <c r="H14" s="72">
        <f t="shared" si="2"/>
        <v>21556.271255999996</v>
      </c>
      <c r="I14" s="72">
        <f t="shared" si="2"/>
        <v>22278.259102</v>
      </c>
      <c r="J14" s="72">
        <f>J11*J13</f>
        <v>23696.722890000001</v>
      </c>
      <c r="K14" s="72">
        <f t="shared" ref="K14:Q14" si="3">K11*K13</f>
        <v>24070.3198725</v>
      </c>
      <c r="L14" s="72">
        <f t="shared" si="3"/>
        <v>24672.077869312499</v>
      </c>
      <c r="M14" s="72">
        <f t="shared" si="3"/>
        <v>25288.879816045312</v>
      </c>
      <c r="N14" s="72">
        <f t="shared" si="3"/>
        <v>25921.101811446439</v>
      </c>
      <c r="O14" s="72">
        <f t="shared" si="3"/>
        <v>26569.129356732599</v>
      </c>
      <c r="P14" s="72">
        <f>P11*P13</f>
        <v>27100.511943867252</v>
      </c>
      <c r="Q14" s="72">
        <f t="shared" si="3"/>
        <v>27507.019623025259</v>
      </c>
    </row>
    <row r="15" spans="1:28" x14ac:dyDescent="0.25">
      <c r="A15" s="100">
        <v>0.3</v>
      </c>
      <c r="B15" s="4" t="s">
        <v>39</v>
      </c>
      <c r="C15" s="82">
        <v>16275.375</v>
      </c>
      <c r="D15" s="82">
        <v>9617.8860000000004</v>
      </c>
      <c r="E15" s="82">
        <v>22150.980000000003</v>
      </c>
      <c r="F15" s="82">
        <v>31363.157999999999</v>
      </c>
      <c r="G15" s="72">
        <v>19058.380615999999</v>
      </c>
      <c r="H15" s="72">
        <v>19449.573875999999</v>
      </c>
      <c r="I15" s="72">
        <v>20156.190984000004</v>
      </c>
      <c r="J15" s="72">
        <v>21604.579787999999</v>
      </c>
      <c r="K15" s="72">
        <f>K14*(1-$A$15)</f>
        <v>16849.223910749999</v>
      </c>
      <c r="L15" s="72">
        <f t="shared" ref="L15:Q15" si="4">L14*(1-$A$15)</f>
        <v>17270.454508518749</v>
      </c>
      <c r="M15" s="72">
        <f t="shared" si="4"/>
        <v>17702.215871231718</v>
      </c>
      <c r="N15" s="72">
        <f t="shared" si="4"/>
        <v>18144.771268012504</v>
      </c>
      <c r="O15" s="72">
        <f t="shared" si="4"/>
        <v>18598.390549712818</v>
      </c>
      <c r="P15" s="72">
        <f>P14*(1-$A$15)</f>
        <v>18970.358360707076</v>
      </c>
      <c r="Q15" s="72">
        <f t="shared" si="4"/>
        <v>19254.91373611768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1.1528592375366569</v>
      </c>
      <c r="D16" s="15">
        <f t="shared" si="5"/>
        <v>1.0664498141263941</v>
      </c>
      <c r="E16" s="15">
        <f t="shared" si="5"/>
        <v>1.0652853792025021</v>
      </c>
      <c r="F16" s="15">
        <f t="shared" si="5"/>
        <v>0.8351589633983435</v>
      </c>
      <c r="G16" s="15">
        <f t="shared" si="5"/>
        <v>0.92621870882740465</v>
      </c>
      <c r="H16" s="15">
        <f t="shared" si="5"/>
        <v>0.90226986128625486</v>
      </c>
      <c r="I16" s="15">
        <f t="shared" si="5"/>
        <v>0.90474713000310292</v>
      </c>
      <c r="J16" s="15">
        <f t="shared" si="5"/>
        <v>0.91171171171171161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3.3243294289202856</v>
      </c>
      <c r="H17" s="72">
        <f t="shared" ref="H17:P17" si="6">H15/H18</f>
        <v>3.3925647786499211</v>
      </c>
      <c r="I17" s="72">
        <f t="shared" si="6"/>
        <v>3.5158191145996867</v>
      </c>
      <c r="J17" s="72">
        <f t="shared" si="6"/>
        <v>3.7684597571951857</v>
      </c>
      <c r="K17" s="72">
        <f t="shared" si="6"/>
        <v>2.9389889954212451</v>
      </c>
      <c r="L17" s="72">
        <f t="shared" si="6"/>
        <v>3.0124637203067763</v>
      </c>
      <c r="M17" s="72">
        <f t="shared" si="6"/>
        <v>3.0877753133144457</v>
      </c>
      <c r="N17" s="72">
        <f t="shared" si="6"/>
        <v>3.1649696961473057</v>
      </c>
      <c r="O17" s="72">
        <f t="shared" si="6"/>
        <v>3.2440939385509888</v>
      </c>
      <c r="P17" s="72">
        <f t="shared" si="6"/>
        <v>3.3089758173220085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5733</v>
      </c>
      <c r="H18" s="72">
        <f>G18*1</f>
        <v>5733</v>
      </c>
      <c r="I18" s="72">
        <f t="shared" ref="I18:P18" si="7">H18*1</f>
        <v>5733</v>
      </c>
      <c r="J18" s="72">
        <f t="shared" si="7"/>
        <v>5733</v>
      </c>
      <c r="K18" s="72">
        <f t="shared" si="7"/>
        <v>5733</v>
      </c>
      <c r="L18" s="72">
        <f t="shared" si="7"/>
        <v>5733</v>
      </c>
      <c r="M18" s="72">
        <f t="shared" si="7"/>
        <v>5733</v>
      </c>
      <c r="N18" s="72">
        <f t="shared" si="7"/>
        <v>5733</v>
      </c>
      <c r="O18" s="72">
        <f t="shared" si="7"/>
        <v>5733</v>
      </c>
      <c r="P18" s="72">
        <f t="shared" si="7"/>
        <v>5733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17389.033408759122</v>
      </c>
      <c r="H19" s="53">
        <f>H15/(1+$C$55)^2</f>
        <v>16191.570771618088</v>
      </c>
      <c r="I19" s="53">
        <f>I15/(1+$C$55)^3</f>
        <v>15310.056812746052</v>
      </c>
      <c r="J19" s="53">
        <f>J15/(1+$C$55)^4</f>
        <v>14972.820118136746</v>
      </c>
      <c r="K19" s="53">
        <f>K15/(1+$C$55)^5</f>
        <v>10654.354207754595</v>
      </c>
      <c r="L19" s="53">
        <f>L15/(1+$C$55)^6</f>
        <v>9964.1542545150187</v>
      </c>
      <c r="M19" s="53">
        <f>M15/(1+$C$55)^7</f>
        <v>9318.6661595601217</v>
      </c>
      <c r="N19" s="53">
        <f>N15/(1+$C$55)^8</f>
        <v>8714.9934430192679</v>
      </c>
      <c r="O19" s="53">
        <f>O15/(1+$C$55)^9</f>
        <v>8150.4272619477651</v>
      </c>
      <c r="P19" s="53">
        <f>P15/(1+$C$55)^10</f>
        <v>7585.2516488929923</v>
      </c>
      <c r="Q19" s="54">
        <f>(Q15/(C55-Q12))/(1+C55)^10</f>
        <v>95049.758316375111</v>
      </c>
    </row>
    <row r="20" spans="1:18" x14ac:dyDescent="0.2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5">
      <c r="A29" s="35"/>
      <c r="B29" s="36"/>
      <c r="C29" s="36"/>
      <c r="D29" s="39"/>
      <c r="F29" s="36"/>
      <c r="G29" s="93" t="s">
        <v>35</v>
      </c>
      <c r="H29" s="6"/>
      <c r="I29" s="79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93"/>
      <c r="H32" s="6"/>
      <c r="I32" s="6"/>
      <c r="J32" s="26"/>
    </row>
    <row r="33" spans="1:10" x14ac:dyDescent="0.25">
      <c r="A33" s="25"/>
      <c r="G33" s="97" t="s">
        <v>34</v>
      </c>
      <c r="H33" s="98"/>
      <c r="I33" s="99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45129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214414.19999999998</v>
      </c>
      <c r="D49" s="47">
        <f>SUM(G19:Q19)</f>
        <v>213301.08640332488</v>
      </c>
      <c r="E49" s="46" t="s">
        <v>46</v>
      </c>
    </row>
    <row r="50" spans="1:17" x14ac:dyDescent="0.25">
      <c r="A50" s="45"/>
      <c r="B50" s="46" t="s">
        <v>11</v>
      </c>
      <c r="C50" s="56">
        <v>5733</v>
      </c>
      <c r="D50" s="56">
        <f>C50</f>
        <v>5733</v>
      </c>
      <c r="E50" s="46"/>
    </row>
    <row r="51" spans="1:17" x14ac:dyDescent="0.25">
      <c r="A51" s="45"/>
      <c r="B51" s="46" t="s">
        <v>13</v>
      </c>
      <c r="C51" s="87">
        <v>37.4</v>
      </c>
      <c r="D51" s="56">
        <f>D49/(D50)</f>
        <v>37.205840991335229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5.2185088010774372E-3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179875930.64471141</v>
      </c>
      <c r="E57" s="46"/>
      <c r="F57" s="1" t="s">
        <v>23</v>
      </c>
      <c r="H57" s="1">
        <f>G15/(1+$B$57)</f>
        <v>17200.70452707581</v>
      </c>
      <c r="I57" s="1">
        <f>H15/(1+$B$57)^2</f>
        <v>15842.7500325822</v>
      </c>
      <c r="J57" s="1">
        <f>I15/(1+$B$57)^3</f>
        <v>14817.986116969503</v>
      </c>
      <c r="K57" s="1">
        <f>J15/(1+$B$57)^4</f>
        <v>14334.639720134825</v>
      </c>
      <c r="L57" s="1">
        <f>K15/(1+$B$57)^5</f>
        <v>10089.766126978433</v>
      </c>
      <c r="M57" s="1">
        <f>L15/(1+$B$57)^6</f>
        <v>9333.9442961668701</v>
      </c>
      <c r="N57" s="1">
        <f>M15/(1+$B$57)^7</f>
        <v>8634.7408876994959</v>
      </c>
      <c r="O57" s="1">
        <f>N15/(1+$B$57)^8</f>
        <v>7987.9146298664054</v>
      </c>
      <c r="P57" s="1">
        <f>O15/(1+$B$57)^9</f>
        <v>7389.5419635496974</v>
      </c>
      <c r="Q57" s="1">
        <f>(Q15/(B57-Q12))/(1+B57)^10</f>
        <v>74243.942343688148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9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29.780782355898076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16.379220280213925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-4.0948050700534813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42.065197566058515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0.12473790283578912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1.1824364892603745E-2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32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51750</v>
      </c>
      <c r="D11" s="82">
        <v>41908</v>
      </c>
      <c r="E11" s="82">
        <v>81288</v>
      </c>
      <c r="F11" s="82">
        <v>100330</v>
      </c>
      <c r="G11" s="72">
        <v>67775.179999999993</v>
      </c>
      <c r="H11" s="72">
        <v>67957.98</v>
      </c>
      <c r="I11" s="72">
        <v>69122.740000000005</v>
      </c>
      <c r="J11" s="72">
        <v>71161.33</v>
      </c>
      <c r="K11" s="72">
        <f>J11*(1+K12)</f>
        <v>74007.783200000005</v>
      </c>
      <c r="L11" s="72">
        <f t="shared" ref="L11:Q11" si="0">K11*(1+L12)</f>
        <v>76968.094528000001</v>
      </c>
      <c r="M11" s="72">
        <f t="shared" si="0"/>
        <v>79661.97783648</v>
      </c>
      <c r="N11" s="72">
        <f t="shared" si="0"/>
        <v>82450.14706075679</v>
      </c>
      <c r="O11" s="72">
        <f t="shared" si="0"/>
        <v>84923.651472579499</v>
      </c>
      <c r="P11" s="72">
        <f t="shared" si="0"/>
        <v>87471.361016756884</v>
      </c>
      <c r="Q11" s="72">
        <f t="shared" si="0"/>
        <v>89220.788237092027</v>
      </c>
    </row>
    <row r="12" spans="1:28" x14ac:dyDescent="0.25">
      <c r="A12" s="5"/>
      <c r="B12" s="4" t="s">
        <v>1</v>
      </c>
      <c r="C12" s="89"/>
      <c r="D12" s="89">
        <f t="shared" ref="D12:J12" si="1">D11/C11-1</f>
        <v>-0.1901835748792271</v>
      </c>
      <c r="E12" s="89">
        <f t="shared" si="1"/>
        <v>0.93967738856542904</v>
      </c>
      <c r="F12" s="89">
        <f t="shared" si="1"/>
        <v>0.23425351835449271</v>
      </c>
      <c r="G12" s="85">
        <f t="shared" si="1"/>
        <v>-0.32447742449915284</v>
      </c>
      <c r="H12" s="85">
        <f t="shared" si="1"/>
        <v>2.6971525564374321E-3</v>
      </c>
      <c r="I12" s="85">
        <f t="shared" si="1"/>
        <v>1.7139414679482989E-2</v>
      </c>
      <c r="J12" s="85">
        <f t="shared" si="1"/>
        <v>2.94923204722497E-2</v>
      </c>
      <c r="K12" s="85">
        <v>0.04</v>
      </c>
      <c r="L12" s="71">
        <v>0.04</v>
      </c>
      <c r="M12" s="71">
        <v>3.5000000000000003E-2</v>
      </c>
      <c r="N12" s="71">
        <v>3.5000000000000003E-2</v>
      </c>
      <c r="O12" s="71">
        <v>0.03</v>
      </c>
      <c r="P12" s="71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88">
        <v>0.27279999999999999</v>
      </c>
      <c r="D13" s="88">
        <v>0.2152</v>
      </c>
      <c r="E13" s="88">
        <v>0.25580000000000003</v>
      </c>
      <c r="F13" s="88">
        <v>0.37430000000000002</v>
      </c>
      <c r="G13" s="84">
        <v>0.30359999999999998</v>
      </c>
      <c r="H13" s="84">
        <v>0.31719999999999998</v>
      </c>
      <c r="I13" s="84">
        <v>0.32229999999999998</v>
      </c>
      <c r="J13" s="84">
        <v>0.33300000000000002</v>
      </c>
      <c r="K13" s="84">
        <v>0.33500000000000002</v>
      </c>
      <c r="L13" s="84">
        <v>0.34</v>
      </c>
      <c r="M13" s="84">
        <v>0.35</v>
      </c>
      <c r="N13" s="84">
        <v>0.36</v>
      </c>
      <c r="O13" s="84">
        <v>0.37</v>
      </c>
      <c r="P13" s="84">
        <v>0.38</v>
      </c>
      <c r="Q13" s="84">
        <v>0.38</v>
      </c>
    </row>
    <row r="14" spans="1:28" ht="17.100000000000001" customHeight="1" x14ac:dyDescent="0.25">
      <c r="A14" s="5"/>
      <c r="B14" s="4" t="s">
        <v>16</v>
      </c>
      <c r="C14" s="82">
        <f>C11*C13</f>
        <v>14117.4</v>
      </c>
      <c r="D14" s="82">
        <f t="shared" ref="D14:J14" si="2">D11*D13</f>
        <v>9018.6016</v>
      </c>
      <c r="E14" s="82">
        <f t="shared" si="2"/>
        <v>20793.470400000002</v>
      </c>
      <c r="F14" s="82">
        <f t="shared" si="2"/>
        <v>37553.519</v>
      </c>
      <c r="G14" s="72">
        <f t="shared" si="2"/>
        <v>20576.544647999996</v>
      </c>
      <c r="H14" s="72">
        <f t="shared" si="2"/>
        <v>21556.271255999996</v>
      </c>
      <c r="I14" s="72">
        <f t="shared" si="2"/>
        <v>22278.259102</v>
      </c>
      <c r="J14" s="72">
        <f t="shared" si="2"/>
        <v>23696.722890000001</v>
      </c>
      <c r="K14" s="72">
        <f t="shared" ref="K14:Q14" si="3">K11*K13</f>
        <v>24792.607372000002</v>
      </c>
      <c r="L14" s="72">
        <f t="shared" si="3"/>
        <v>26169.152139520003</v>
      </c>
      <c r="M14" s="72">
        <f t="shared" si="3"/>
        <v>27881.692242768</v>
      </c>
      <c r="N14" s="72">
        <f t="shared" si="3"/>
        <v>29682.052941872444</v>
      </c>
      <c r="O14" s="72">
        <f>O11*O13</f>
        <v>31421.751044854413</v>
      </c>
      <c r="P14" s="72">
        <f t="shared" si="3"/>
        <v>33239.117186367614</v>
      </c>
      <c r="Q14" s="72">
        <f t="shared" si="3"/>
        <v>33903.899530094968</v>
      </c>
    </row>
    <row r="15" spans="1:28" x14ac:dyDescent="0.25">
      <c r="A15" s="100">
        <v>0.25</v>
      </c>
      <c r="B15" s="4" t="s">
        <v>39</v>
      </c>
      <c r="C15" s="82">
        <v>16275.375</v>
      </c>
      <c r="D15" s="82">
        <v>9617.8860000000004</v>
      </c>
      <c r="E15" s="82">
        <v>22150.980000000003</v>
      </c>
      <c r="F15" s="82">
        <v>31363.157999999999</v>
      </c>
      <c r="G15" s="72">
        <v>19058.380615999999</v>
      </c>
      <c r="H15" s="72">
        <v>19449.573875999999</v>
      </c>
      <c r="I15" s="72">
        <v>20156.190984000004</v>
      </c>
      <c r="J15" s="72">
        <v>21604.579787999999</v>
      </c>
      <c r="K15" s="72">
        <f t="shared" ref="K15:Q15" si="4">K14*(1-$A$15)</f>
        <v>18594.455529000003</v>
      </c>
      <c r="L15" s="72">
        <f t="shared" si="4"/>
        <v>19626.864104640001</v>
      </c>
      <c r="M15" s="72">
        <f t="shared" si="4"/>
        <v>20911.269182076001</v>
      </c>
      <c r="N15" s="72">
        <f t="shared" si="4"/>
        <v>22261.539706404332</v>
      </c>
      <c r="O15" s="72">
        <f>O14*(1-$A$15)</f>
        <v>23566.313283640811</v>
      </c>
      <c r="P15" s="72">
        <f t="shared" si="4"/>
        <v>24929.33788977571</v>
      </c>
      <c r="Q15" s="72">
        <f t="shared" si="4"/>
        <v>25427.924647571228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1.1528592375366569</v>
      </c>
      <c r="D16" s="15">
        <f t="shared" si="5"/>
        <v>1.0664498141263941</v>
      </c>
      <c r="E16" s="15">
        <f t="shared" si="5"/>
        <v>1.0652853792025021</v>
      </c>
      <c r="F16" s="15">
        <f t="shared" si="5"/>
        <v>0.8351589633983435</v>
      </c>
      <c r="G16" s="15">
        <f t="shared" si="5"/>
        <v>0.92621870882740465</v>
      </c>
      <c r="H16" s="15">
        <f t="shared" si="5"/>
        <v>0.90226986128625486</v>
      </c>
      <c r="I16" s="15">
        <f t="shared" si="5"/>
        <v>0.90474713000310292</v>
      </c>
      <c r="J16" s="15">
        <f t="shared" si="5"/>
        <v>0.91171171171171161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3.3243294289202856</v>
      </c>
      <c r="H17" s="72">
        <f>H15/H18</f>
        <v>3.3959607393893108</v>
      </c>
      <c r="I17" s="72">
        <f t="shared" ref="I17:O17" si="6">I15/I18</f>
        <v>3.5228613143671068</v>
      </c>
      <c r="J17" s="72">
        <f>J15/J18</f>
        <v>3.7797877849665182</v>
      </c>
      <c r="K17" s="72">
        <f t="shared" si="6"/>
        <v>3.2564136871118534</v>
      </c>
      <c r="L17" s="72">
        <f t="shared" si="6"/>
        <v>3.4406582097403411</v>
      </c>
      <c r="M17" s="72">
        <f t="shared" si="6"/>
        <v>3.6694884192381751</v>
      </c>
      <c r="N17" s="72">
        <f t="shared" si="6"/>
        <v>3.9103428714661628</v>
      </c>
      <c r="O17" s="72">
        <f t="shared" si="6"/>
        <v>4.1436760880762842</v>
      </c>
      <c r="P17" s="72">
        <f>P15/P18</f>
        <v>4.3877250787897566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5733</v>
      </c>
      <c r="H18" s="72">
        <f>G18*0.999</f>
        <v>5727.2669999999998</v>
      </c>
      <c r="I18" s="72">
        <f t="shared" ref="I18:P18" si="7">H18*0.999</f>
        <v>5721.5397329999996</v>
      </c>
      <c r="J18" s="72">
        <f t="shared" si="7"/>
        <v>5715.8181932669995</v>
      </c>
      <c r="K18" s="72">
        <f t="shared" si="7"/>
        <v>5710.1023750737322</v>
      </c>
      <c r="L18" s="72">
        <f t="shared" si="7"/>
        <v>5704.3922726986584</v>
      </c>
      <c r="M18" s="72">
        <f t="shared" si="7"/>
        <v>5698.6878804259595</v>
      </c>
      <c r="N18" s="72">
        <f t="shared" si="7"/>
        <v>5692.9891925455331</v>
      </c>
      <c r="O18" s="72">
        <f t="shared" si="7"/>
        <v>5687.2962033529875</v>
      </c>
      <c r="P18" s="72">
        <f t="shared" si="7"/>
        <v>5681.6089071496344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17389.033408759122</v>
      </c>
      <c r="H19" s="53">
        <f>H15/(1+$C$55)^2</f>
        <v>16191.570771618088</v>
      </c>
      <c r="I19" s="53">
        <f>I15/(1+$C$55)^3</f>
        <v>15310.056812746052</v>
      </c>
      <c r="J19" s="53">
        <f>J15/(1+$C$55)^4</f>
        <v>14972.820118136746</v>
      </c>
      <c r="K19" s="53">
        <f>K15/(1+$C$55)^5</f>
        <v>11757.925264433645</v>
      </c>
      <c r="L19" s="53">
        <f>L15/(1+$C$55)^6</f>
        <v>11323.6800672833</v>
      </c>
      <c r="M19" s="53">
        <f>M15/(1+$C$55)^7</f>
        <v>11007.95165407196</v>
      </c>
      <c r="N19" s="53">
        <f>N15/(1+$C$55)^8</f>
        <v>10692.290892354562</v>
      </c>
      <c r="O19" s="53">
        <f>O15/(1+$C$55)^9</f>
        <v>10327.534618502445</v>
      </c>
      <c r="P19" s="53">
        <f>P15/(1+$C$55)^10</f>
        <v>9967.9351195547824</v>
      </c>
      <c r="Q19" s="54">
        <f>(Q15/(C55-Q12))/(1+C55)^10</f>
        <v>133780.18186770892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45129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214414.19999999998</v>
      </c>
      <c r="D49" s="47">
        <f>SUM(G19:Q19)</f>
        <v>262720.98059516959</v>
      </c>
      <c r="E49" s="46" t="s">
        <v>46</v>
      </c>
    </row>
    <row r="50" spans="1:17" x14ac:dyDescent="0.25">
      <c r="A50" s="45"/>
      <c r="B50" s="46" t="s">
        <v>11</v>
      </c>
      <c r="C50" s="56">
        <v>5733</v>
      </c>
      <c r="D50" s="56">
        <f>C50</f>
        <v>5733</v>
      </c>
      <c r="E50" s="46"/>
    </row>
    <row r="51" spans="1:17" x14ac:dyDescent="0.25">
      <c r="A51" s="45"/>
      <c r="B51" s="46" t="s">
        <v>13</v>
      </c>
      <c r="C51" s="87">
        <v>37.4</v>
      </c>
      <c r="D51" s="56">
        <f>D49/(D50)</f>
        <v>45.82609115562002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0.18387104252479236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216919030.38894293</v>
      </c>
      <c r="E57" s="46"/>
      <c r="F57" s="1" t="s">
        <v>23</v>
      </c>
      <c r="H57" s="1">
        <f>G15/(1+$B$57)</f>
        <v>17200.70452707581</v>
      </c>
      <c r="I57" s="1">
        <f>H15/(1+$B$57)^2</f>
        <v>15842.7500325822</v>
      </c>
      <c r="J57" s="1">
        <f>I15/(1+$B$57)^3</f>
        <v>14817.986116969503</v>
      </c>
      <c r="K57" s="1">
        <f>J15/(1+$B$57)^4</f>
        <v>14334.639720134825</v>
      </c>
      <c r="L57" s="1">
        <f>K15/(1+$B$57)^5</f>
        <v>11134.857518654693</v>
      </c>
      <c r="M57" s="1">
        <f>L15/(1+$B$57)^6</f>
        <v>10607.483211908773</v>
      </c>
      <c r="N57" s="1">
        <f>M15/(1+$B$57)^7</f>
        <v>10200.044578238356</v>
      </c>
      <c r="O57" s="1">
        <f>N15/(1+$B$57)^8</f>
        <v>9800.2491228767631</v>
      </c>
      <c r="P57" s="1">
        <f>O15/(1+$B$57)^9</f>
        <v>9363.4048855002366</v>
      </c>
      <c r="Q57" s="1">
        <f>(Q15/(B57-Q12))/(1+B57)^10</f>
        <v>103616.91067500178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21</v>
      </c>
      <c r="D59" s="23"/>
      <c r="E59" s="24"/>
    </row>
    <row r="60" spans="1:17" x14ac:dyDescent="0.25">
      <c r="A60" s="25" t="s">
        <v>21</v>
      </c>
      <c r="C60" s="68" t="s">
        <v>40</v>
      </c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92.142226654584888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0.6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22.098746173239473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-5.5246865433098682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108.7162862845145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1.9068525744522593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0.11260831334682453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topLeftCell="A29" zoomScaleNormal="100" workbookViewId="0">
      <selection activeCell="P12" sqref="P1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2">
        <v>51750</v>
      </c>
      <c r="D11" s="82">
        <v>41908</v>
      </c>
      <c r="E11" s="82">
        <v>81288</v>
      </c>
      <c r="F11" s="82">
        <v>100330</v>
      </c>
      <c r="G11" s="72">
        <f t="shared" ref="G11:Q11" si="0">F11*(1+G12)</f>
        <v>96818.45</v>
      </c>
      <c r="H11" s="72">
        <f t="shared" si="0"/>
        <v>93429.804250000001</v>
      </c>
      <c r="I11" s="72">
        <f t="shared" si="0"/>
        <v>90159.761101249998</v>
      </c>
      <c r="J11" s="72">
        <f t="shared" si="0"/>
        <v>87004.169462706239</v>
      </c>
      <c r="K11" s="72">
        <f t="shared" si="0"/>
        <v>83959.023531511513</v>
      </c>
      <c r="L11" s="72">
        <f t="shared" si="0"/>
        <v>81020.457707908601</v>
      </c>
      <c r="M11" s="72">
        <f t="shared" si="0"/>
        <v>78184.741688131791</v>
      </c>
      <c r="N11" s="72">
        <f t="shared" si="0"/>
        <v>75448.275729047178</v>
      </c>
      <c r="O11" s="72">
        <f t="shared" si="0"/>
        <v>72807.586078530527</v>
      </c>
      <c r="P11" s="72">
        <f t="shared" si="0"/>
        <v>72807.586078530527</v>
      </c>
      <c r="Q11" s="72">
        <f t="shared" si="0"/>
        <v>72807.586078530527</v>
      </c>
    </row>
    <row r="12" spans="1:28" x14ac:dyDescent="0.25">
      <c r="A12" s="5"/>
      <c r="B12" s="4" t="s">
        <v>1</v>
      </c>
      <c r="C12" s="86"/>
      <c r="D12" s="89">
        <f>D11/C11-1</f>
        <v>-0.1901835748792271</v>
      </c>
      <c r="E12" s="89">
        <f>E11/D11-1</f>
        <v>0.93967738856542904</v>
      </c>
      <c r="F12" s="89">
        <f>F11/E11-1</f>
        <v>0.23425351835449271</v>
      </c>
      <c r="G12" s="85">
        <v>-3.5000000000000003E-2</v>
      </c>
      <c r="H12" s="85">
        <f>G12</f>
        <v>-3.5000000000000003E-2</v>
      </c>
      <c r="I12" s="85">
        <f t="shared" ref="I12:O12" si="1">H12</f>
        <v>-3.5000000000000003E-2</v>
      </c>
      <c r="J12" s="85">
        <f t="shared" si="1"/>
        <v>-3.5000000000000003E-2</v>
      </c>
      <c r="K12" s="85">
        <f t="shared" si="1"/>
        <v>-3.5000000000000003E-2</v>
      </c>
      <c r="L12" s="85">
        <f t="shared" si="1"/>
        <v>-3.5000000000000003E-2</v>
      </c>
      <c r="M12" s="85">
        <f t="shared" si="1"/>
        <v>-3.5000000000000003E-2</v>
      </c>
      <c r="N12" s="85">
        <f t="shared" si="1"/>
        <v>-3.5000000000000003E-2</v>
      </c>
      <c r="O12" s="85">
        <f t="shared" si="1"/>
        <v>-3.5000000000000003E-2</v>
      </c>
      <c r="P12" s="85">
        <v>0</v>
      </c>
      <c r="Q12" s="85">
        <v>0</v>
      </c>
    </row>
    <row r="13" spans="1:28" ht="15.95" customHeight="1" x14ac:dyDescent="0.25">
      <c r="A13" s="5"/>
      <c r="B13" s="4" t="s">
        <v>15</v>
      </c>
      <c r="C13" s="88">
        <v>0.27279999999999999</v>
      </c>
      <c r="D13" s="88">
        <v>0.2152</v>
      </c>
      <c r="E13" s="88">
        <v>0.25580000000000003</v>
      </c>
      <c r="F13" s="88">
        <v>0.37430000000000002</v>
      </c>
      <c r="G13" s="84">
        <v>0.30359999999999998</v>
      </c>
      <c r="H13" s="84">
        <v>0.31719999999999998</v>
      </c>
      <c r="I13" s="84">
        <v>0.32229999999999998</v>
      </c>
      <c r="J13" s="84">
        <v>0.33300000000000002</v>
      </c>
      <c r="K13" s="84">
        <v>0.33500000000000002</v>
      </c>
      <c r="L13" s="84">
        <v>0.34</v>
      </c>
      <c r="M13" s="84">
        <v>0.35</v>
      </c>
      <c r="N13" s="84">
        <v>0.36</v>
      </c>
      <c r="O13" s="84">
        <v>0.37</v>
      </c>
      <c r="P13" s="84">
        <v>0.38</v>
      </c>
      <c r="Q13" s="84">
        <v>0.38</v>
      </c>
    </row>
    <row r="14" spans="1:28" ht="17.100000000000001" customHeight="1" x14ac:dyDescent="0.25">
      <c r="A14" s="5"/>
      <c r="B14" s="4" t="s">
        <v>16</v>
      </c>
      <c r="C14" s="82">
        <f>C11*C13</f>
        <v>14117.4</v>
      </c>
      <c r="D14" s="82">
        <f t="shared" ref="D14:Q14" si="2">D11*D13</f>
        <v>9018.6016</v>
      </c>
      <c r="E14" s="82">
        <f t="shared" si="2"/>
        <v>20793.470400000002</v>
      </c>
      <c r="F14" s="82">
        <f t="shared" si="2"/>
        <v>37553.519</v>
      </c>
      <c r="G14" s="72">
        <f t="shared" si="2"/>
        <v>29394.081419999999</v>
      </c>
      <c r="H14" s="72">
        <f t="shared" si="2"/>
        <v>29635.9339081</v>
      </c>
      <c r="I14" s="72">
        <f t="shared" si="2"/>
        <v>29058.491002932871</v>
      </c>
      <c r="J14" s="72">
        <f t="shared" si="2"/>
        <v>28972.388431081181</v>
      </c>
      <c r="K14" s="72">
        <f t="shared" si="2"/>
        <v>28126.272883056357</v>
      </c>
      <c r="L14" s="72">
        <f t="shared" si="2"/>
        <v>27546.955620688925</v>
      </c>
      <c r="M14" s="72">
        <f t="shared" si="2"/>
        <v>27364.659590846124</v>
      </c>
      <c r="N14" s="72">
        <f t="shared" si="2"/>
        <v>27161.379262456983</v>
      </c>
      <c r="O14" s="72">
        <f>O11*O13</f>
        <v>26938.806849056295</v>
      </c>
      <c r="P14" s="72">
        <f t="shared" si="2"/>
        <v>27666.8827098416</v>
      </c>
      <c r="Q14" s="72">
        <f t="shared" si="2"/>
        <v>27666.8827098416</v>
      </c>
    </row>
    <row r="15" spans="1:28" x14ac:dyDescent="0.25">
      <c r="A15" s="100">
        <v>0.25</v>
      </c>
      <c r="B15" s="4" t="s">
        <v>39</v>
      </c>
      <c r="C15" s="82">
        <v>16275.375</v>
      </c>
      <c r="D15" s="82">
        <v>9617.8860000000004</v>
      </c>
      <c r="E15" s="82">
        <v>22150.980000000003</v>
      </c>
      <c r="F15" s="82">
        <v>31363.157999999999</v>
      </c>
      <c r="G15" s="72">
        <v>19058.380615999999</v>
      </c>
      <c r="H15" s="72">
        <v>19449.573875999999</v>
      </c>
      <c r="I15" s="72">
        <v>20156.190984000004</v>
      </c>
      <c r="J15" s="72">
        <v>21604.579787999999</v>
      </c>
      <c r="K15" s="72">
        <f>K14*(1-$A$15)</f>
        <v>21094.704662292268</v>
      </c>
      <c r="L15" s="72">
        <f t="shared" ref="L15:Q15" si="3">L14*(1-$A$15)</f>
        <v>20660.216715516694</v>
      </c>
      <c r="M15" s="72">
        <f t="shared" si="3"/>
        <v>20523.494693134591</v>
      </c>
      <c r="N15" s="72">
        <f t="shared" si="3"/>
        <v>20371.034446842736</v>
      </c>
      <c r="O15" s="72">
        <f>O14*(1-$A$15)</f>
        <v>20204.105136792219</v>
      </c>
      <c r="P15" s="72">
        <f t="shared" si="3"/>
        <v>20750.162032381202</v>
      </c>
      <c r="Q15" s="72">
        <f t="shared" si="3"/>
        <v>20750.162032381202</v>
      </c>
    </row>
    <row r="16" spans="1:28" ht="32.25" hidden="1" thickBot="1" x14ac:dyDescent="0.3">
      <c r="A16" s="13" t="s">
        <v>6</v>
      </c>
      <c r="B16" s="14"/>
      <c r="C16" s="15">
        <f t="shared" ref="C16:J16" si="4">C15/C14</f>
        <v>1.1528592375366569</v>
      </c>
      <c r="D16" s="15">
        <f t="shared" si="4"/>
        <v>1.0664498141263941</v>
      </c>
      <c r="E16" s="15">
        <f t="shared" si="4"/>
        <v>1.0652853792025021</v>
      </c>
      <c r="F16" s="15">
        <f t="shared" si="4"/>
        <v>0.8351589633983435</v>
      </c>
      <c r="G16" s="15">
        <f t="shared" si="4"/>
        <v>0.64837476441881614</v>
      </c>
      <c r="H16" s="15">
        <f t="shared" si="4"/>
        <v>0.65628348127352598</v>
      </c>
      <c r="I16" s="15">
        <f t="shared" si="4"/>
        <v>0.69364204018596975</v>
      </c>
      <c r="J16" s="15">
        <f t="shared" si="4"/>
        <v>0.74569550382055838</v>
      </c>
    </row>
    <row r="17" spans="1:18" x14ac:dyDescent="0.25">
      <c r="A17" s="2" t="s">
        <v>36</v>
      </c>
      <c r="C17" s="82"/>
      <c r="D17" s="82"/>
      <c r="E17" s="82"/>
      <c r="F17" s="82"/>
      <c r="G17" s="72">
        <f>G15/G18</f>
        <v>3.3243294289202856</v>
      </c>
      <c r="H17" s="72">
        <f t="shared" ref="H17:O17" si="5">H15/H18</f>
        <v>3.3959607393893108</v>
      </c>
      <c r="I17" s="72">
        <f t="shared" si="5"/>
        <v>3.5228613143671068</v>
      </c>
      <c r="J17" s="72">
        <f t="shared" si="5"/>
        <v>3.7797877849665182</v>
      </c>
      <c r="K17" s="72">
        <f t="shared" si="5"/>
        <v>3.6942778389362729</v>
      </c>
      <c r="L17" s="72">
        <f t="shared" si="5"/>
        <v>3.6218085517009282</v>
      </c>
      <c r="M17" s="72">
        <f t="shared" si="5"/>
        <v>3.6014421431342756</v>
      </c>
      <c r="N17" s="72">
        <f t="shared" si="5"/>
        <v>3.5782668397679038</v>
      </c>
      <c r="O17" s="72">
        <f t="shared" si="5"/>
        <v>3.5524974283703985</v>
      </c>
      <c r="P17" s="72">
        <f>P15/P18</f>
        <v>3.6521630354158261</v>
      </c>
      <c r="Q17" s="72"/>
    </row>
    <row r="18" spans="1:18" ht="32.25" thickBot="1" x14ac:dyDescent="0.3">
      <c r="A18" s="2" t="s">
        <v>38</v>
      </c>
      <c r="C18" s="82"/>
      <c r="D18" s="82"/>
      <c r="E18" s="82"/>
      <c r="F18" s="82"/>
      <c r="G18" s="72">
        <f>C50</f>
        <v>5733</v>
      </c>
      <c r="H18" s="72">
        <f>G18*0.999</f>
        <v>5727.2669999999998</v>
      </c>
      <c r="I18" s="72">
        <f t="shared" ref="I18:P18" si="6">H18*0.999</f>
        <v>5721.5397329999996</v>
      </c>
      <c r="J18" s="72">
        <f t="shared" si="6"/>
        <v>5715.8181932669995</v>
      </c>
      <c r="K18" s="72">
        <f t="shared" si="6"/>
        <v>5710.1023750737322</v>
      </c>
      <c r="L18" s="72">
        <f t="shared" si="6"/>
        <v>5704.3922726986584</v>
      </c>
      <c r="M18" s="72">
        <f t="shared" si="6"/>
        <v>5698.6878804259595</v>
      </c>
      <c r="N18" s="72">
        <f t="shared" si="6"/>
        <v>5692.9891925455331</v>
      </c>
      <c r="O18" s="72">
        <f t="shared" si="6"/>
        <v>5687.2962033529875</v>
      </c>
      <c r="P18" s="72">
        <f t="shared" si="6"/>
        <v>5681.6089071496344</v>
      </c>
      <c r="Q18" s="72"/>
    </row>
    <row r="19" spans="1:18" ht="16.5" thickBot="1" x14ac:dyDescent="0.3">
      <c r="A19" s="2"/>
      <c r="E19" s="51" t="s">
        <v>12</v>
      </c>
      <c r="F19" s="52"/>
      <c r="G19" s="53">
        <f>G15/(1+$C$55)</f>
        <v>17389.033408759122</v>
      </c>
      <c r="H19" s="53">
        <f>H15/(1+$C$55)^2</f>
        <v>16191.570771618088</v>
      </c>
      <c r="I19" s="53">
        <f>I15/(1+$C$55)^3</f>
        <v>15310.056812746052</v>
      </c>
      <c r="J19" s="53">
        <f>J15/(1+$C$55)^4</f>
        <v>14972.820118136746</v>
      </c>
      <c r="K19" s="53">
        <f>K15/(1+$C$55)^5</f>
        <v>13338.920330724593</v>
      </c>
      <c r="L19" s="53">
        <f>L15/(1+$C$55)^6</f>
        <v>11919.870793416327</v>
      </c>
      <c r="M19" s="53">
        <f>M15/(1+$C$55)^7</f>
        <v>10803.822349925835</v>
      </c>
      <c r="N19" s="53">
        <f>N15/(1+$C$55)^8</f>
        <v>9784.2749853082223</v>
      </c>
      <c r="O19" s="53">
        <f>O15/(1+$C$55)^9</f>
        <v>8854.1042769269588</v>
      </c>
      <c r="P19" s="53">
        <f>P15/(1+$C$55)^10</f>
        <v>8296.9018179923169</v>
      </c>
      <c r="Q19" s="54">
        <f>(Q15/(C55-Q12))/(1+C55)^10</f>
        <v>86426.060604086611</v>
      </c>
    </row>
    <row r="20" spans="1:18" x14ac:dyDescent="0.2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0">
        <f>(I27-I23)*I29</f>
        <v>5.8500000000000017E-2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79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79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79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79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1">
        <f>I23+(I27-I23)*I29</f>
        <v>9.6000000000000016E-2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6" t="s">
        <v>34</v>
      </c>
      <c r="H33" s="22"/>
      <c r="I33" s="77">
        <f>I31</f>
        <v>9.6000000000000016E-2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3">
        <v>45129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214414.19999999998</v>
      </c>
      <c r="D49" s="47">
        <f>SUM(G19:Q19)</f>
        <v>213287.43626964086</v>
      </c>
      <c r="E49" s="46" t="s">
        <v>46</v>
      </c>
    </row>
    <row r="50" spans="1:17" x14ac:dyDescent="0.25">
      <c r="A50" s="45"/>
      <c r="B50" s="46" t="s">
        <v>11</v>
      </c>
      <c r="C50" s="56">
        <v>5733</v>
      </c>
      <c r="D50" s="56">
        <f>C50</f>
        <v>5733</v>
      </c>
      <c r="E50" s="46"/>
    </row>
    <row r="51" spans="1:17" x14ac:dyDescent="0.25">
      <c r="A51" s="45"/>
      <c r="B51" s="46" t="s">
        <v>13</v>
      </c>
      <c r="C51" s="87">
        <v>37.4</v>
      </c>
      <c r="D51" s="87">
        <f>D49/(D50)</f>
        <v>37.20346001563594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5.2828415497230274E-3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9.6000000000000016E-2</v>
      </c>
      <c r="D55" s="49"/>
      <c r="E55" s="46"/>
      <c r="J55" s="70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3">
        <v>0.108</v>
      </c>
      <c r="C57" s="50"/>
      <c r="D57" s="74">
        <f>SUM(H57:Q57)*1000</f>
        <v>181897503.46234733</v>
      </c>
      <c r="E57" s="46"/>
      <c r="F57" s="1" t="s">
        <v>23</v>
      </c>
      <c r="H57" s="1">
        <f>G15/(1+$B$57)</f>
        <v>17200.70452707581</v>
      </c>
      <c r="I57" s="1">
        <f>H15/(1+$B$57)^2</f>
        <v>15842.7500325822</v>
      </c>
      <c r="J57" s="1">
        <f>I15/(1+$B$57)^3</f>
        <v>14817.986116969503</v>
      </c>
      <c r="K57" s="1">
        <f>J15/(1+$B$57)^4</f>
        <v>14334.639720134825</v>
      </c>
      <c r="L57" s="1">
        <f>K15/(1+$B$57)^5</f>
        <v>12632.073600993323</v>
      </c>
      <c r="M57" s="1">
        <f>L15/(1+$B$57)^6</f>
        <v>11165.966238714123</v>
      </c>
      <c r="N57" s="1">
        <f>M15/(1+$B$57)^7</f>
        <v>10010.896945014052</v>
      </c>
      <c r="O57" s="1">
        <f>N15/(1+$B$57)^8</f>
        <v>8967.9876191281091</v>
      </c>
      <c r="P57" s="1">
        <f>O15/(1+$B$57)^9</f>
        <v>8027.5270241919652</v>
      </c>
      <c r="Q57" s="1">
        <f>(Q15/(B57-Q12))/(1+B57)^10</f>
        <v>68896.971637543393</v>
      </c>
    </row>
    <row r="58" spans="1:17" ht="16.5" thickBot="1" x14ac:dyDescent="0.3">
      <c r="A58" s="22"/>
      <c r="C58" s="65"/>
      <c r="D58" s="66"/>
    </row>
    <row r="59" spans="1:17" x14ac:dyDescent="0.25">
      <c r="A59" s="59" t="s">
        <v>42</v>
      </c>
      <c r="B59" s="23"/>
      <c r="C59" s="67">
        <v>23</v>
      </c>
      <c r="D59" s="23"/>
      <c r="E59" s="24"/>
    </row>
    <row r="60" spans="1:17" x14ac:dyDescent="0.25">
      <c r="A60" s="25" t="s">
        <v>21</v>
      </c>
      <c r="C60" s="68"/>
      <c r="E60" s="26"/>
    </row>
    <row r="61" spans="1:17" x14ac:dyDescent="0.25">
      <c r="A61" s="25"/>
      <c r="C61" s="68"/>
      <c r="E61" s="26"/>
    </row>
    <row r="62" spans="1:17" x14ac:dyDescent="0.25">
      <c r="A62" s="25" t="s">
        <v>37</v>
      </c>
      <c r="C62" s="68"/>
      <c r="E62" s="60">
        <f>P17*C59</f>
        <v>83.999749814563998</v>
      </c>
    </row>
    <row r="63" spans="1:17" x14ac:dyDescent="0.25">
      <c r="A63" s="25"/>
      <c r="C63" s="68"/>
      <c r="E63" s="26"/>
    </row>
    <row r="64" spans="1:17" x14ac:dyDescent="0.25">
      <c r="A64" s="25" t="s">
        <v>17</v>
      </c>
      <c r="C64" s="69">
        <v>0.6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21.434037062981293</v>
      </c>
    </row>
    <row r="67" spans="1:5" x14ac:dyDescent="0.25">
      <c r="A67" s="25"/>
      <c r="E67" s="61"/>
    </row>
    <row r="68" spans="1:5" x14ac:dyDescent="0.25">
      <c r="A68" s="103" t="s">
        <v>47</v>
      </c>
      <c r="E68" s="104">
        <f>(E66*0.25)*-1</f>
        <v>-5.3585092657453233</v>
      </c>
    </row>
    <row r="69" spans="1:5" x14ac:dyDescent="0.25">
      <c r="A69" s="25"/>
      <c r="C69" s="41"/>
      <c r="D69" s="41"/>
      <c r="E69" s="62"/>
    </row>
    <row r="70" spans="1:5" x14ac:dyDescent="0.25">
      <c r="A70" s="25" t="s">
        <v>43</v>
      </c>
      <c r="E70" s="60">
        <f>SUM(E62:E68)</f>
        <v>100.07527761179996</v>
      </c>
    </row>
    <row r="71" spans="1:5" x14ac:dyDescent="0.25">
      <c r="A71" s="25"/>
      <c r="E71" s="60"/>
    </row>
    <row r="72" spans="1:5" x14ac:dyDescent="0.25">
      <c r="A72" s="25" t="s">
        <v>44</v>
      </c>
      <c r="E72" s="62">
        <f>E70/C51-1</f>
        <v>1.6758095618128332</v>
      </c>
    </row>
    <row r="73" spans="1:5" x14ac:dyDescent="0.25">
      <c r="A73" s="25"/>
      <c r="E73" s="26"/>
    </row>
    <row r="74" spans="1:5" ht="16.5" thickBot="1" x14ac:dyDescent="0.3">
      <c r="A74" s="63" t="s">
        <v>45</v>
      </c>
      <c r="B74" s="64"/>
      <c r="C74" s="64"/>
      <c r="D74" s="64"/>
      <c r="E74" s="102">
        <f>(E70/C51)^(1/10)-1</f>
        <v>0.10343186178931041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2023-07-22T10:15:20Z</dcterms:modified>
</cp:coreProperties>
</file>