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6BB9E3E6-4786-4C42-9963-1EBE7CE0B144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32" l="1"/>
  <c r="J18" i="32" s="1"/>
  <c r="K18" i="32" s="1"/>
  <c r="L18" i="32" s="1"/>
  <c r="M18" i="32" s="1"/>
  <c r="N18" i="32" s="1"/>
  <c r="O18" i="32" s="1"/>
  <c r="P18" i="32" s="1"/>
  <c r="H18" i="32"/>
  <c r="I18" i="35"/>
  <c r="J18" i="35" s="1"/>
  <c r="K18" i="35" s="1"/>
  <c r="L18" i="35" s="1"/>
  <c r="M18" i="35" s="1"/>
  <c r="N18" i="35" s="1"/>
  <c r="O18" i="35" s="1"/>
  <c r="P18" i="35" s="1"/>
  <c r="H18" i="35"/>
  <c r="K11" i="32" l="1"/>
  <c r="J12" i="32" l="1"/>
  <c r="J12" i="34" l="1"/>
  <c r="G11" i="35" l="1"/>
  <c r="H12" i="35" l="1"/>
  <c r="H11" i="35" s="1"/>
  <c r="I12" i="35" l="1"/>
  <c r="J12" i="35" s="1"/>
  <c r="K12" i="35" s="1"/>
  <c r="L12" i="35" s="1"/>
  <c r="M12" i="35" s="1"/>
  <c r="N12" i="35" s="1"/>
  <c r="O12" i="35" s="1"/>
  <c r="D50" i="35"/>
  <c r="C49" i="35"/>
  <c r="I31" i="35"/>
  <c r="I33" i="35" s="1"/>
  <c r="D46" i="35" s="1"/>
  <c r="C55" i="35" s="1"/>
  <c r="I25" i="35"/>
  <c r="G18" i="35"/>
  <c r="F14" i="35"/>
  <c r="F16" i="35" s="1"/>
  <c r="E14" i="35"/>
  <c r="E16" i="35" s="1"/>
  <c r="D14" i="35"/>
  <c r="D16" i="35" s="1"/>
  <c r="C14" i="35"/>
  <c r="C16" i="35" s="1"/>
  <c r="F12" i="35"/>
  <c r="E12" i="35"/>
  <c r="D12" i="35"/>
  <c r="I11" i="35" l="1"/>
  <c r="J11" i="35" s="1"/>
  <c r="K11" i="35" s="1"/>
  <c r="L11" i="35" s="1"/>
  <c r="D14" i="34" l="1"/>
  <c r="E14" i="34"/>
  <c r="F14" i="34"/>
  <c r="G14" i="34"/>
  <c r="H14" i="34"/>
  <c r="I14" i="34"/>
  <c r="C14" i="34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G14" i="32" l="1"/>
  <c r="H14" i="32"/>
  <c r="I14" i="32"/>
  <c r="D14" i="32"/>
  <c r="E14" i="32"/>
  <c r="F14" i="32"/>
  <c r="C14" i="32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H14" i="35" l="1"/>
  <c r="G14" i="35"/>
  <c r="I14" i="35" l="1"/>
  <c r="I57" i="35" l="1"/>
  <c r="H19" i="35"/>
  <c r="H17" i="35"/>
  <c r="H16" i="35"/>
  <c r="H57" i="35"/>
  <c r="G19" i="35"/>
  <c r="G17" i="35"/>
  <c r="G16" i="35"/>
  <c r="J14" i="35"/>
  <c r="J57" i="35" l="1"/>
  <c r="I19" i="35"/>
  <c r="I17" i="35"/>
  <c r="I16" i="35"/>
  <c r="J16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J14" i="34" l="1"/>
  <c r="J16" i="34" l="1"/>
  <c r="K11" i="34"/>
  <c r="J19" i="34" l="1"/>
  <c r="K57" i="34"/>
  <c r="J17" i="34"/>
  <c r="K14" i="34"/>
  <c r="K15" i="34" s="1"/>
  <c r="L11" i="34"/>
  <c r="L14" i="34" l="1"/>
  <c r="L15" i="34" s="1"/>
  <c r="M11" i="34"/>
  <c r="K19" i="34"/>
  <c r="K17" i="34"/>
  <c r="L57" i="34"/>
  <c r="N11" i="34" l="1"/>
  <c r="M14" i="34"/>
  <c r="M15" i="34" s="1"/>
  <c r="M57" i="34"/>
  <c r="L19" i="34"/>
  <c r="L17" i="34"/>
  <c r="M19" i="34" l="1"/>
  <c r="N57" i="34"/>
  <c r="M17" i="34"/>
  <c r="N14" i="34"/>
  <c r="N15" i="34" s="1"/>
  <c r="O11" i="34"/>
  <c r="O14" i="34" l="1"/>
  <c r="O15" i="34" s="1"/>
  <c r="P11" i="34"/>
  <c r="O57" i="34"/>
  <c r="N17" i="34"/>
  <c r="N19" i="34"/>
  <c r="Q11" i="34" l="1"/>
  <c r="Q14" i="34" s="1"/>
  <c r="Q15" i="34" s="1"/>
  <c r="P14" i="34"/>
  <c r="P15" i="34" s="1"/>
  <c r="O19" i="34"/>
  <c r="P57" i="34"/>
  <c r="O17" i="34"/>
  <c r="D43" i="34" l="1"/>
  <c r="D42" i="34"/>
  <c r="D40" i="34"/>
  <c r="D44" i="34"/>
  <c r="D41" i="34"/>
  <c r="P17" i="34"/>
  <c r="P19" i="34"/>
  <c r="Q19" i="34"/>
  <c r="Q57" i="34"/>
  <c r="D57" i="34" s="1"/>
  <c r="D49" i="34" l="1"/>
  <c r="D51" i="34" s="1"/>
  <c r="D52" i="34" s="1"/>
  <c r="E62" i="34"/>
  <c r="E66" i="34"/>
  <c r="E68" i="34" s="1"/>
  <c r="D53" i="34" l="1"/>
  <c r="E70" i="34"/>
  <c r="E74" i="34" s="1"/>
  <c r="E72" i="34" l="1"/>
  <c r="J14" i="32"/>
  <c r="J19" i="32" l="1"/>
  <c r="K57" i="32"/>
  <c r="J16" i="32"/>
  <c r="J17" i="32"/>
  <c r="L11" i="32" l="1"/>
  <c r="K14" i="32"/>
  <c r="K15" i="32" s="1"/>
  <c r="K17" i="32" l="1"/>
  <c r="L57" i="32"/>
  <c r="K19" i="32"/>
  <c r="L14" i="32"/>
  <c r="L15" i="32" s="1"/>
  <c r="M11" i="32"/>
  <c r="M14" i="32" l="1"/>
  <c r="M15" i="32" s="1"/>
  <c r="N11" i="32"/>
  <c r="L19" i="32"/>
  <c r="M57" i="32"/>
  <c r="L17" i="32"/>
  <c r="N14" i="32" l="1"/>
  <c r="N15" i="32" s="1"/>
  <c r="O11" i="32"/>
  <c r="N57" i="32"/>
  <c r="M17" i="32"/>
  <c r="M19" i="32"/>
  <c r="P11" i="32" l="1"/>
  <c r="O14" i="32"/>
  <c r="O15" i="32" s="1"/>
  <c r="O57" i="32"/>
  <c r="N19" i="32"/>
  <c r="N17" i="32"/>
  <c r="O17" i="32" l="1"/>
  <c r="P57" i="32"/>
  <c r="O19" i="32"/>
  <c r="Q11" i="32"/>
  <c r="Q14" i="32" s="1"/>
  <c r="Q15" i="32" s="1"/>
  <c r="P14" i="32"/>
  <c r="P15" i="32" s="1"/>
  <c r="D43" i="32" l="1"/>
  <c r="D44" i="32"/>
  <c r="D42" i="32"/>
  <c r="D40" i="32"/>
  <c r="D41" i="32"/>
  <c r="P19" i="32"/>
  <c r="P17" i="32"/>
  <c r="E62" i="32" s="1"/>
  <c r="Q57" i="32"/>
  <c r="D57" i="32" s="1"/>
  <c r="Q19" i="32"/>
  <c r="D49" i="32" l="1"/>
  <c r="D51" i="32" s="1"/>
  <c r="D52" i="32" s="1"/>
  <c r="E66" i="32"/>
  <c r="E68" i="32" s="1"/>
  <c r="E70" i="32" l="1"/>
  <c r="E74" i="32" s="1"/>
  <c r="D53" i="32"/>
  <c r="E72" i="32" l="1"/>
</calcChain>
</file>

<file path=xl/sharedStrings.xml><?xml version="1.0" encoding="utf-8"?>
<sst xmlns="http://schemas.openxmlformats.org/spreadsheetml/2006/main" count="149" uniqueCount="49">
  <si>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</si>
  <si>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</si>
  <si>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</si>
  <si>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</si>
  <si>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</si>
  <si>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</si>
  <si>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</si>
  <si>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</si>
  <si>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</si>
  <si>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</si>
  <si>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</si>
  <si>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</si>
  <si>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</si>
  <si>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</si>
  <si>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</si>
  <si>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</si>
  <si>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</si>
  <si>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</si>
  <si>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</si>
  <si>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</si>
  <si>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</si>
  <si>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</si>
  <si>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</si>
  <si>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</si>
  <si>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</si>
  <si>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</si>
  <si>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</si>
  <si>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</si>
  <si>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</si>
  <si>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</si>
  <si>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</si>
  <si>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</si>
  <si>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</si>
  <si>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</si>
  <si>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</si>
  <si>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</si>
  <si>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</si>
  <si>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</si>
  <si>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</si>
  <si>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</si>
  <si>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</si>
  <si>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2033ff.</t>
  </si>
  <si>
    <t>KGV Multiple in 2032</t>
  </si>
  <si>
    <t>Gesamtwert 2032</t>
  </si>
  <si>
    <t>Steigerung Gesamt bis 2032 in Prozent</t>
  </si>
  <si>
    <t>Renditeerwartung bis 2032 pro Jahr</t>
  </si>
  <si>
    <t>USD</t>
  </si>
  <si>
    <t>Quellensteuer USA (25 %)</t>
  </si>
  <si>
    <t xml:space="preserve"> Annahmen für 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</si>
</sst>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  <xf numFmtId="10" fontId="0" fillId="2" borderId="7" xfId="0" applyNumberFormat="1" applyFill="1" applyBorder="1"/>
    <xf numFmtId="4" fontId="13" fillId="2" borderId="8" xfId="0" quotePrefix="1" applyNumberFormat="1" applyFont="1" applyFill="1" applyBorder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abSelected="1" topLeftCell="A34" zoomScaleNormal="100" workbookViewId="0">
      <selection activeCell="B4" sqref="B4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2">
        <v>2177.9499999999998</v>
      </c>
      <c r="D11" s="82">
        <v>4385.38</v>
      </c>
      <c r="E11" s="82">
        <v>9959.81</v>
      </c>
      <c r="F11" s="82">
        <v>12455.56</v>
      </c>
      <c r="G11" s="72">
        <v>13238.53</v>
      </c>
      <c r="H11" s="72">
        <v>15285.16</v>
      </c>
      <c r="I11" s="72">
        <v>17265.04</v>
      </c>
      <c r="J11" s="72">
        <v>17846.89</v>
      </c>
      <c r="K11" s="72">
        <f t="shared" ref="K11" si="0">J11*(1+K12)</f>
        <v>18382.296699999999</v>
      </c>
      <c r="L11" s="72">
        <f t="shared" ref="L11:Q11" si="1">K11*(1+L12)</f>
        <v>18933.765600999999</v>
      </c>
      <c r="M11" s="72">
        <f t="shared" si="1"/>
        <v>19407.109741024997</v>
      </c>
      <c r="N11" s="72">
        <f t="shared" si="1"/>
        <v>19892.287484550619</v>
      </c>
      <c r="O11" s="72">
        <f t="shared" si="1"/>
        <v>20290.133234241632</v>
      </c>
      <c r="P11" s="72">
        <f t="shared" si="1"/>
        <v>20695.935898926466</v>
      </c>
      <c r="Q11" s="72">
        <f t="shared" si="1"/>
        <v>21006.374937410361</v>
      </c>
    </row>
    <row r="12" spans="1:28" x14ac:dyDescent="0.25">
      <c r="A12" s="5"/>
      <c r="B12" s="4" t="s">
        <v>1</v>
      </c>
      <c r="C12" s="86"/>
      <c r="D12" s="89">
        <f t="shared" ref="D12:J12" si="2">D11/C11-1</f>
        <v>1.0135356642714481</v>
      </c>
      <c r="E12" s="89">
        <f t="shared" si="2"/>
        <v>1.271139559171611</v>
      </c>
      <c r="F12" s="89">
        <f t="shared" si="2"/>
        <v>0.25058208941736848</v>
      </c>
      <c r="G12" s="85">
        <f t="shared" si="2"/>
        <v>6.2861083724858657E-2</v>
      </c>
      <c r="H12" s="85">
        <f t="shared" si="2"/>
        <v>0.15459646954760076</v>
      </c>
      <c r="I12" s="85">
        <f t="shared" si="2"/>
        <v>0.12952955677271305</v>
      </c>
      <c r="J12" s="85">
        <f t="shared" si="2"/>
        <v>3.3701051373179469E-2</v>
      </c>
      <c r="K12" s="85">
        <v>0.03</v>
      </c>
      <c r="L12" s="71">
        <v>0.03</v>
      </c>
      <c r="M12" s="71">
        <v>2.5000000000000001E-2</v>
      </c>
      <c r="N12" s="71">
        <v>2.5000000000000001E-2</v>
      </c>
      <c r="O12" s="71">
        <v>0.02</v>
      </c>
      <c r="P12" s="71">
        <v>0.02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88">
        <v>-0.41699999999999998</v>
      </c>
      <c r="D13" s="88">
        <v>-0.34</v>
      </c>
      <c r="E13" s="88">
        <v>-0.18790000000000001</v>
      </c>
      <c r="F13" s="88">
        <v>-0.1134</v>
      </c>
      <c r="G13" s="84">
        <v>8.0199999999999994E-2</v>
      </c>
      <c r="H13" s="84">
        <v>0.10199999999999999</v>
      </c>
      <c r="I13" s="84">
        <v>0.12670000000000001</v>
      </c>
      <c r="J13" s="84">
        <v>0.1176</v>
      </c>
      <c r="K13" s="84">
        <v>0.12</v>
      </c>
      <c r="L13" s="84">
        <v>0.12</v>
      </c>
      <c r="M13" s="84">
        <v>0.115</v>
      </c>
      <c r="N13" s="84">
        <v>0.115</v>
      </c>
      <c r="O13" s="84">
        <v>0.115</v>
      </c>
      <c r="P13" s="84">
        <v>0.115</v>
      </c>
      <c r="Q13" s="84">
        <v>0.115</v>
      </c>
    </row>
    <row r="14" spans="1:28" ht="17.100000000000001" customHeight="1" x14ac:dyDescent="0.25">
      <c r="A14" s="5"/>
      <c r="B14" s="4" t="s">
        <v>16</v>
      </c>
      <c r="C14" s="82">
        <f>C11*C13</f>
        <v>-908.20514999999989</v>
      </c>
      <c r="D14" s="82">
        <f t="shared" ref="D14:I14" si="3">D11*D13</f>
        <v>-1491.0292000000002</v>
      </c>
      <c r="E14" s="82">
        <f t="shared" si="3"/>
        <v>-1871.4482989999999</v>
      </c>
      <c r="F14" s="82">
        <f t="shared" si="3"/>
        <v>-1412.4605039999999</v>
      </c>
      <c r="G14" s="72">
        <f t="shared" si="3"/>
        <v>1061.730106</v>
      </c>
      <c r="H14" s="72">
        <f t="shared" si="3"/>
        <v>1559.0863199999999</v>
      </c>
      <c r="I14" s="72">
        <f t="shared" si="3"/>
        <v>2187.4805680000004</v>
      </c>
      <c r="J14" s="72">
        <f>J11*J13</f>
        <v>2098.7942639999997</v>
      </c>
      <c r="K14" s="72">
        <f t="shared" ref="K14:Q14" si="4">K11*K13</f>
        <v>2205.8756039999998</v>
      </c>
      <c r="L14" s="72">
        <f t="shared" si="4"/>
        <v>2272.0518721199996</v>
      </c>
      <c r="M14" s="72">
        <f t="shared" si="4"/>
        <v>2231.8176202178747</v>
      </c>
      <c r="N14" s="72">
        <f t="shared" si="4"/>
        <v>2287.6130607233213</v>
      </c>
      <c r="O14" s="72">
        <f t="shared" si="4"/>
        <v>2333.3653219377879</v>
      </c>
      <c r="P14" s="72">
        <f>P11*P13</f>
        <v>2380.0326283765435</v>
      </c>
      <c r="Q14" s="72">
        <f t="shared" si="4"/>
        <v>2415.7331178021918</v>
      </c>
    </row>
    <row r="15" spans="1:28" x14ac:dyDescent="0.25">
      <c r="A15" s="100">
        <v>0.2</v>
      </c>
      <c r="B15" s="4" t="s">
        <v>39</v>
      </c>
      <c r="C15" s="82">
        <v>-1464.4535799999999</v>
      </c>
      <c r="D15" s="82">
        <v>-1621.713524</v>
      </c>
      <c r="E15" s="82">
        <v>-2047.736936</v>
      </c>
      <c r="F15" s="82">
        <v>-1651.6072559999998</v>
      </c>
      <c r="G15" s="72">
        <v>1123.9511970000001</v>
      </c>
      <c r="H15" s="72">
        <v>1624.812508</v>
      </c>
      <c r="I15" s="72">
        <v>2251.3612159999998</v>
      </c>
      <c r="J15" s="72">
        <v>2782.3301510000001</v>
      </c>
      <c r="K15" s="72">
        <f t="shared" ref="K15:Q15" si="5">K14*(1-$A$15)</f>
        <v>1764.7004832</v>
      </c>
      <c r="L15" s="72">
        <f t="shared" si="5"/>
        <v>1817.6414976959998</v>
      </c>
      <c r="M15" s="72">
        <f t="shared" si="5"/>
        <v>1785.4540961742998</v>
      </c>
      <c r="N15" s="72">
        <f t="shared" si="5"/>
        <v>1830.0904485786571</v>
      </c>
      <c r="O15" s="72">
        <f t="shared" si="5"/>
        <v>1866.6922575502304</v>
      </c>
      <c r="P15" s="72">
        <f>P14*(1-$A$15)</f>
        <v>1904.0261027012348</v>
      </c>
      <c r="Q15" s="72">
        <f t="shared" si="5"/>
        <v>1932.5864942417536</v>
      </c>
    </row>
    <row r="16" spans="1:28" ht="32.25" hidden="1" thickBot="1" x14ac:dyDescent="0.3">
      <c r="A16" s="13" t="s">
        <v>6</v>
      </c>
      <c r="B16" s="14"/>
      <c r="C16" s="15">
        <f t="shared" ref="C16:J16" si="6">C15/C14</f>
        <v>1.6124700239808154</v>
      </c>
      <c r="D16" s="15">
        <f t="shared" si="6"/>
        <v>1.0876470588235292</v>
      </c>
      <c r="E16" s="15">
        <f t="shared" si="6"/>
        <v>1.0941990420436403</v>
      </c>
      <c r="F16" s="15">
        <f t="shared" si="6"/>
        <v>1.1693121693121693</v>
      </c>
      <c r="G16" s="15">
        <f t="shared" si="6"/>
        <v>1.0586034912718205</v>
      </c>
      <c r="H16" s="15">
        <f t="shared" si="6"/>
        <v>1.0421568627450981</v>
      </c>
      <c r="I16" s="15">
        <f t="shared" si="6"/>
        <v>1.0292028413575371</v>
      </c>
      <c r="J16" s="15">
        <f t="shared" si="6"/>
        <v>1.3256802721088439</v>
      </c>
    </row>
    <row r="17" spans="1:18" x14ac:dyDescent="0.25">
      <c r="A17" s="2" t="s">
        <v>36</v>
      </c>
      <c r="C17" s="82"/>
      <c r="D17" s="82"/>
      <c r="E17" s="82"/>
      <c r="F17" s="82"/>
      <c r="G17" s="72">
        <f>G15/G18</f>
        <v>2.0138885450636086</v>
      </c>
      <c r="H17" s="72">
        <f t="shared" ref="H17:P17" si="7">H15/H18</f>
        <v>2.9113286292779068</v>
      </c>
      <c r="I17" s="72">
        <f t="shared" si="7"/>
        <v>4.0339745851997844</v>
      </c>
      <c r="J17" s="72">
        <f t="shared" si="7"/>
        <v>4.9853613169682855</v>
      </c>
      <c r="K17" s="72">
        <f t="shared" si="7"/>
        <v>3.1619790059129187</v>
      </c>
      <c r="L17" s="72">
        <f t="shared" si="7"/>
        <v>3.2568383760903057</v>
      </c>
      <c r="M17" s="72">
        <f t="shared" si="7"/>
        <v>3.1991651965137069</v>
      </c>
      <c r="N17" s="72">
        <f t="shared" si="7"/>
        <v>3.279144326426549</v>
      </c>
      <c r="O17" s="72">
        <f t="shared" si="7"/>
        <v>3.34472721295508</v>
      </c>
      <c r="P17" s="72">
        <f t="shared" si="7"/>
        <v>3.4116217572141814</v>
      </c>
      <c r="Q17" s="72"/>
    </row>
    <row r="18" spans="1:18" ht="32.25" thickBot="1" x14ac:dyDescent="0.3">
      <c r="A18" s="2" t="s">
        <v>38</v>
      </c>
      <c r="C18" s="82"/>
      <c r="D18" s="82"/>
      <c r="E18" s="82"/>
      <c r="F18" s="82"/>
      <c r="G18" s="72">
        <f>C50</f>
        <v>558.1</v>
      </c>
      <c r="H18" s="72">
        <f>G18*1</f>
        <v>558.1</v>
      </c>
      <c r="I18" s="72">
        <f t="shared" ref="I18:P18" si="8">H18*1</f>
        <v>558.1</v>
      </c>
      <c r="J18" s="72">
        <f t="shared" si="8"/>
        <v>558.1</v>
      </c>
      <c r="K18" s="72">
        <f t="shared" si="8"/>
        <v>558.1</v>
      </c>
      <c r="L18" s="72">
        <f t="shared" si="8"/>
        <v>558.1</v>
      </c>
      <c r="M18" s="72">
        <f t="shared" si="8"/>
        <v>558.1</v>
      </c>
      <c r="N18" s="72">
        <f t="shared" si="8"/>
        <v>558.1</v>
      </c>
      <c r="O18" s="72">
        <f t="shared" si="8"/>
        <v>558.1</v>
      </c>
      <c r="P18" s="72">
        <f t="shared" si="8"/>
        <v>558.1</v>
      </c>
      <c r="Q18" s="72"/>
    </row>
    <row r="19" spans="1:18" ht="16.5" thickBot="1" x14ac:dyDescent="0.3">
      <c r="A19" s="2"/>
      <c r="E19" s="51" t="s">
        <v>12</v>
      </c>
      <c r="F19" s="52"/>
      <c r="G19" s="53">
        <f>G15/(1+$C$55)</f>
        <v>1022.4709547418695</v>
      </c>
      <c r="H19" s="53">
        <f>H15/(1+$C$55)^2</f>
        <v>1344.6532475131776</v>
      </c>
      <c r="I19" s="53">
        <f>I15/(1+$C$55)^3</f>
        <v>1694.9455746049541</v>
      </c>
      <c r="J19" s="53">
        <f>J15/(1+$C$55)^4</f>
        <v>1905.5606011775085</v>
      </c>
      <c r="K19" s="53">
        <f>K15/(1+$C$55)^5</f>
        <v>1099.4832895682825</v>
      </c>
      <c r="L19" s="53">
        <f>L15/(1+$C$55)^6</f>
        <v>1030.2185929091024</v>
      </c>
      <c r="M19" s="53">
        <f>M15/(1+$C$55)^7</f>
        <v>920.60508406610904</v>
      </c>
      <c r="N19" s="53">
        <f>N15/(1+$C$55)^8</f>
        <v>858.42184322743833</v>
      </c>
      <c r="O19" s="53">
        <f>O15/(1+$C$55)^9</f>
        <v>796.53425525766397</v>
      </c>
      <c r="P19" s="53">
        <f>P15/(1+$C$55)^10</f>
        <v>739.10842880401833</v>
      </c>
      <c r="Q19" s="54">
        <f>(Q15/(C55-Q12))/(1+C55)^10</f>
        <v>8904.3923470157697</v>
      </c>
    </row>
    <row r="20" spans="1:18" x14ac:dyDescent="0.25">
      <c r="A20" s="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"/>
      <c r="P20" s="3"/>
      <c r="Q20" s="3"/>
      <c r="R20" s="3"/>
    </row>
    <row r="21" spans="1:18" x14ac:dyDescent="0.2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90" t="s">
        <v>25</v>
      </c>
      <c r="H23" s="91"/>
      <c r="I23" s="92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25">
      <c r="A25" s="35"/>
      <c r="B25" s="36"/>
      <c r="C25" s="36"/>
      <c r="D25" s="38"/>
      <c r="F25" s="36"/>
      <c r="G25" s="93" t="s">
        <v>27</v>
      </c>
      <c r="H25" s="6"/>
      <c r="I25" s="95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25">
      <c r="A27" s="35"/>
      <c r="B27" s="36"/>
      <c r="C27" s="36"/>
      <c r="D27" s="38"/>
      <c r="F27" s="36"/>
      <c r="G27" s="93" t="s">
        <v>28</v>
      </c>
      <c r="H27" s="6"/>
      <c r="I27" s="96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25">
      <c r="A29" s="35"/>
      <c r="B29" s="36"/>
      <c r="C29" s="36"/>
      <c r="D29" s="39"/>
      <c r="F29" s="36"/>
      <c r="G29" s="93" t="s">
        <v>35</v>
      </c>
      <c r="H29" s="6"/>
      <c r="I29" s="79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25">
      <c r="A31" s="35"/>
      <c r="B31" s="36"/>
      <c r="C31" s="36"/>
      <c r="D31" s="37"/>
      <c r="F31" s="36"/>
      <c r="G31" s="93" t="s">
        <v>31</v>
      </c>
      <c r="H31" s="6"/>
      <c r="I31" s="96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93"/>
      <c r="H32" s="6"/>
      <c r="I32" s="6"/>
      <c r="J32" s="26"/>
    </row>
    <row r="33" spans="1:10" x14ac:dyDescent="0.25">
      <c r="A33" s="25"/>
      <c r="G33" s="97" t="s">
        <v>34</v>
      </c>
      <c r="H33" s="98"/>
      <c r="I33" s="99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93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3">
        <v>45108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32392.124</v>
      </c>
      <c r="D49" s="47">
        <f>SUM(G19:Q19)</f>
        <v>20316.394218885893</v>
      </c>
      <c r="E49" s="46" t="s">
        <v>46</v>
      </c>
    </row>
    <row r="50" spans="1:17" x14ac:dyDescent="0.25">
      <c r="A50" s="45"/>
      <c r="B50" s="46" t="s">
        <v>11</v>
      </c>
      <c r="C50" s="56">
        <v>558.1</v>
      </c>
      <c r="D50" s="56">
        <f>C50</f>
        <v>558.1</v>
      </c>
      <c r="E50" s="46"/>
    </row>
    <row r="51" spans="1:17" x14ac:dyDescent="0.25">
      <c r="A51" s="45"/>
      <c r="B51" s="46" t="s">
        <v>13</v>
      </c>
      <c r="C51" s="87">
        <v>58.04</v>
      </c>
      <c r="D51" s="56">
        <f>D49/(D50)</f>
        <v>36.402784839430019</v>
      </c>
      <c r="E51" s="46" t="s">
        <v>46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0.59438351367924547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3">
        <v>0.108</v>
      </c>
      <c r="C57" s="50"/>
      <c r="D57" s="74">
        <f>SUM(H57:Q57)*1000</f>
        <v>17748184.001799252</v>
      </c>
      <c r="E57" s="46"/>
      <c r="F57" s="1" t="s">
        <v>23</v>
      </c>
      <c r="H57" s="1">
        <f>G15/(1+$B$57)</f>
        <v>1014.3963871841155</v>
      </c>
      <c r="I57" s="1">
        <f>H15/(1+$B$57)^2</f>
        <v>1323.4993516141221</v>
      </c>
      <c r="J57" s="1">
        <f>I15/(1+$B$57)^3</f>
        <v>1655.1063278500026</v>
      </c>
      <c r="K57" s="1">
        <f>J15/(1+$B$57)^4</f>
        <v>1846.0761879389222</v>
      </c>
      <c r="L57" s="1">
        <f>K15/(1+$B$57)^5</f>
        <v>1056.7498689535353</v>
      </c>
      <c r="M57" s="1">
        <f>L15/(1+$B$57)^6</f>
        <v>982.35773016438714</v>
      </c>
      <c r="N57" s="1">
        <f>M15/(1+$B$57)^7</f>
        <v>870.904162478393</v>
      </c>
      <c r="O57" s="1">
        <f>N15/(1+$B$57)^8</f>
        <v>805.66495175122054</v>
      </c>
      <c r="P57" s="1">
        <f>O15/(1+$B$57)^9</f>
        <v>741.67712164823547</v>
      </c>
      <c r="Q57" s="1">
        <f>(Q15/(B57-Q12))/(1+B57)^10</f>
        <v>7451.7519122163167</v>
      </c>
    </row>
    <row r="58" spans="1:17" ht="16.5" thickBot="1" x14ac:dyDescent="0.3">
      <c r="A58" s="22"/>
      <c r="C58" s="65"/>
      <c r="D58" s="66"/>
    </row>
    <row r="59" spans="1:17" x14ac:dyDescent="0.25">
      <c r="A59" s="59" t="s">
        <v>42</v>
      </c>
      <c r="B59" s="23"/>
      <c r="C59" s="67">
        <v>18</v>
      </c>
      <c r="D59" s="23"/>
      <c r="E59" s="24"/>
    </row>
    <row r="60" spans="1:17" x14ac:dyDescent="0.25">
      <c r="A60" s="25" t="s">
        <v>21</v>
      </c>
      <c r="C60" s="68"/>
      <c r="E60" s="26"/>
    </row>
    <row r="61" spans="1:17" x14ac:dyDescent="0.25">
      <c r="A61" s="25"/>
      <c r="C61" s="68"/>
      <c r="E61" s="26"/>
    </row>
    <row r="62" spans="1:17" x14ac:dyDescent="0.25">
      <c r="A62" s="25" t="s">
        <v>37</v>
      </c>
      <c r="C62" s="68"/>
      <c r="E62" s="60">
        <f>P17*C59</f>
        <v>61.409191629855265</v>
      </c>
    </row>
    <row r="63" spans="1:17" x14ac:dyDescent="0.25">
      <c r="A63" s="25"/>
      <c r="C63" s="68"/>
      <c r="E63" s="26"/>
    </row>
    <row r="64" spans="1:17" x14ac:dyDescent="0.25">
      <c r="A64" s="25" t="s">
        <v>17</v>
      </c>
      <c r="C64" s="69">
        <v>0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0</v>
      </c>
    </row>
    <row r="67" spans="1:5" x14ac:dyDescent="0.25">
      <c r="A67" s="25"/>
      <c r="E67" s="61"/>
    </row>
    <row r="68" spans="1:5" x14ac:dyDescent="0.25">
      <c r="A68" s="103" t="s">
        <v>47</v>
      </c>
      <c r="E68" s="104">
        <f>(E66*0.25)*-1</f>
        <v>0</v>
      </c>
    </row>
    <row r="69" spans="1:5" x14ac:dyDescent="0.25">
      <c r="A69" s="25"/>
      <c r="C69" s="41"/>
      <c r="D69" s="41"/>
      <c r="E69" s="62"/>
    </row>
    <row r="70" spans="1:5" x14ac:dyDescent="0.25">
      <c r="A70" s="25" t="s">
        <v>43</v>
      </c>
      <c r="E70" s="60">
        <f>SUM(E62:E68)</f>
        <v>61.409191629855265</v>
      </c>
    </row>
    <row r="71" spans="1:5" x14ac:dyDescent="0.25">
      <c r="A71" s="25"/>
      <c r="E71" s="60"/>
    </row>
    <row r="72" spans="1:5" x14ac:dyDescent="0.25">
      <c r="A72" s="25" t="s">
        <v>44</v>
      </c>
      <c r="E72" s="62">
        <f>E70/C51-1</f>
        <v>5.8049476737685568E-2</v>
      </c>
    </row>
    <row r="73" spans="1:5" x14ac:dyDescent="0.25">
      <c r="A73" s="25"/>
      <c r="E73" s="26"/>
    </row>
    <row r="74" spans="1:5" ht="16.5" thickBot="1" x14ac:dyDescent="0.3">
      <c r="A74" s="63" t="s">
        <v>45</v>
      </c>
      <c r="B74" s="64"/>
      <c r="C74" s="64"/>
      <c r="D74" s="64"/>
      <c r="E74" s="102">
        <f>(E70/C51)^(1/10)-1</f>
        <v>5.6586597471697253E-3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K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opLeftCell="A34" zoomScaleNormal="100" workbookViewId="0">
      <selection activeCell="B4" sqref="B4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2">
        <v>2177.9499999999998</v>
      </c>
      <c r="D11" s="82">
        <v>4385.38</v>
      </c>
      <c r="E11" s="82">
        <v>9959.81</v>
      </c>
      <c r="F11" s="82">
        <v>12455.56</v>
      </c>
      <c r="G11" s="72">
        <v>13238.53</v>
      </c>
      <c r="H11" s="72">
        <v>15285.16</v>
      </c>
      <c r="I11" s="72">
        <v>17265.04</v>
      </c>
      <c r="J11" s="72">
        <v>17846.89</v>
      </c>
      <c r="K11" s="72">
        <f t="shared" ref="K11" si="0">J11*(1+K12)</f>
        <v>19810.047900000001</v>
      </c>
      <c r="L11" s="72">
        <f t="shared" ref="L11:Q11" si="1">K11*(1+L12)</f>
        <v>21592.952211000003</v>
      </c>
      <c r="M11" s="72">
        <f t="shared" si="1"/>
        <v>23104.458865770004</v>
      </c>
      <c r="N11" s="72">
        <f t="shared" si="1"/>
        <v>24375.204103387354</v>
      </c>
      <c r="O11" s="72">
        <f t="shared" si="1"/>
        <v>25350.212267522849</v>
      </c>
      <c r="P11" s="72">
        <f t="shared" si="1"/>
        <v>26110.718635548536</v>
      </c>
      <c r="Q11" s="72">
        <f t="shared" si="1"/>
        <v>26632.933008259508</v>
      </c>
    </row>
    <row r="12" spans="1:28" x14ac:dyDescent="0.25">
      <c r="A12" s="5"/>
      <c r="B12" s="4" t="s">
        <v>1</v>
      </c>
      <c r="C12" s="89"/>
      <c r="D12" s="89">
        <f t="shared" ref="D12:J12" si="2">D11/C11-1</f>
        <v>1.0135356642714481</v>
      </c>
      <c r="E12" s="89">
        <f t="shared" si="2"/>
        <v>1.271139559171611</v>
      </c>
      <c r="F12" s="89">
        <f t="shared" si="2"/>
        <v>0.25058208941736848</v>
      </c>
      <c r="G12" s="85">
        <f t="shared" si="2"/>
        <v>6.2861083724858657E-2</v>
      </c>
      <c r="H12" s="85">
        <f t="shared" si="2"/>
        <v>0.15459646954760076</v>
      </c>
      <c r="I12" s="85">
        <f t="shared" si="2"/>
        <v>0.12952955677271305</v>
      </c>
      <c r="J12" s="85">
        <f t="shared" si="2"/>
        <v>3.3701051373179469E-2</v>
      </c>
      <c r="K12" s="85">
        <v>0.11</v>
      </c>
      <c r="L12" s="71">
        <v>0.09</v>
      </c>
      <c r="M12" s="71">
        <v>7.0000000000000007E-2</v>
      </c>
      <c r="N12" s="71">
        <v>5.5E-2</v>
      </c>
      <c r="O12" s="71">
        <v>0.04</v>
      </c>
      <c r="P12" s="71">
        <v>0.03</v>
      </c>
      <c r="Q12" s="12">
        <v>0.02</v>
      </c>
    </row>
    <row r="13" spans="1:28" ht="15.95" customHeight="1" x14ac:dyDescent="0.25">
      <c r="A13" s="5"/>
      <c r="B13" s="4" t="s">
        <v>15</v>
      </c>
      <c r="C13" s="88">
        <v>-0.41699999999999998</v>
      </c>
      <c r="D13" s="88">
        <v>-0.34</v>
      </c>
      <c r="E13" s="88">
        <v>-0.18790000000000001</v>
      </c>
      <c r="F13" s="88">
        <v>-0.1134</v>
      </c>
      <c r="G13" s="84">
        <v>8.0199999999999994E-2</v>
      </c>
      <c r="H13" s="84">
        <v>0.10199999999999999</v>
      </c>
      <c r="I13" s="84">
        <v>0.12670000000000001</v>
      </c>
      <c r="J13" s="84">
        <v>0.1176</v>
      </c>
      <c r="K13" s="84">
        <v>0.12</v>
      </c>
      <c r="L13" s="84">
        <v>0.13</v>
      </c>
      <c r="M13" s="84">
        <v>0.14000000000000001</v>
      </c>
      <c r="N13" s="84">
        <v>0.15</v>
      </c>
      <c r="O13" s="84">
        <v>0.16</v>
      </c>
      <c r="P13" s="84">
        <v>0.17</v>
      </c>
      <c r="Q13" s="84">
        <v>0.17499999999999999</v>
      </c>
    </row>
    <row r="14" spans="1:28" ht="17.100000000000001" customHeight="1" x14ac:dyDescent="0.25">
      <c r="A14" s="5"/>
      <c r="B14" s="4" t="s">
        <v>16</v>
      </c>
      <c r="C14" s="82">
        <f>C11*C13</f>
        <v>-908.20514999999989</v>
      </c>
      <c r="D14" s="82">
        <f t="shared" ref="D14:J14" si="3">D11*D13</f>
        <v>-1491.0292000000002</v>
      </c>
      <c r="E14" s="82">
        <f t="shared" si="3"/>
        <v>-1871.4482989999999</v>
      </c>
      <c r="F14" s="82">
        <f t="shared" si="3"/>
        <v>-1412.4605039999999</v>
      </c>
      <c r="G14" s="72">
        <f t="shared" si="3"/>
        <v>1061.730106</v>
      </c>
      <c r="H14" s="72">
        <f t="shared" si="3"/>
        <v>1559.0863199999999</v>
      </c>
      <c r="I14" s="72">
        <f t="shared" si="3"/>
        <v>2187.4805680000004</v>
      </c>
      <c r="J14" s="72">
        <f t="shared" si="3"/>
        <v>2098.7942639999997</v>
      </c>
      <c r="K14" s="72">
        <f t="shared" ref="K14:Q14" si="4">K11*K13</f>
        <v>2377.2057479999999</v>
      </c>
      <c r="L14" s="72">
        <f t="shared" si="4"/>
        <v>2807.0837874300005</v>
      </c>
      <c r="M14" s="72">
        <f t="shared" si="4"/>
        <v>3234.6242412078009</v>
      </c>
      <c r="N14" s="72">
        <f t="shared" si="4"/>
        <v>3656.280615508103</v>
      </c>
      <c r="O14" s="72">
        <f>O11*O13</f>
        <v>4056.0339628036559</v>
      </c>
      <c r="P14" s="72">
        <f t="shared" si="4"/>
        <v>4438.8221680432516</v>
      </c>
      <c r="Q14" s="72">
        <f t="shared" si="4"/>
        <v>4660.7632764454138</v>
      </c>
    </row>
    <row r="15" spans="1:28" x14ac:dyDescent="0.25">
      <c r="A15" s="100">
        <v>0.15</v>
      </c>
      <c r="B15" s="4" t="s">
        <v>39</v>
      </c>
      <c r="C15" s="82">
        <v>-1464.4535799999999</v>
      </c>
      <c r="D15" s="82">
        <v>-1621.713524</v>
      </c>
      <c r="E15" s="82">
        <v>-2047.736936</v>
      </c>
      <c r="F15" s="82">
        <v>-1651.6072559999998</v>
      </c>
      <c r="G15" s="72">
        <v>1123.9511970000001</v>
      </c>
      <c r="H15" s="72">
        <v>1624.812508</v>
      </c>
      <c r="I15" s="72">
        <v>2251.3612159999998</v>
      </c>
      <c r="J15" s="72">
        <v>2782.3301510000001</v>
      </c>
      <c r="K15" s="72">
        <f t="shared" ref="K15:Q15" si="5">K14*(1-$A$15)</f>
        <v>2020.6248857999999</v>
      </c>
      <c r="L15" s="72">
        <f t="shared" si="5"/>
        <v>2386.0212193155003</v>
      </c>
      <c r="M15" s="72">
        <f t="shared" si="5"/>
        <v>2749.4306050266305</v>
      </c>
      <c r="N15" s="72">
        <f t="shared" si="5"/>
        <v>3107.8385231818875</v>
      </c>
      <c r="O15" s="72">
        <f>O14*(1-$A$15)</f>
        <v>3447.6288683831076</v>
      </c>
      <c r="P15" s="72">
        <f t="shared" si="5"/>
        <v>3772.9988428367637</v>
      </c>
      <c r="Q15" s="72">
        <f t="shared" si="5"/>
        <v>3961.6487849786017</v>
      </c>
    </row>
    <row r="16" spans="1:28" ht="32.25" hidden="1" thickBot="1" x14ac:dyDescent="0.3">
      <c r="A16" s="13" t="s">
        <v>6</v>
      </c>
      <c r="B16" s="14"/>
      <c r="C16" s="15">
        <f t="shared" ref="C16:J16" si="6">C15/C14</f>
        <v>1.6124700239808154</v>
      </c>
      <c r="D16" s="15">
        <f t="shared" si="6"/>
        <v>1.0876470588235292</v>
      </c>
      <c r="E16" s="15">
        <f t="shared" si="6"/>
        <v>1.0941990420436403</v>
      </c>
      <c r="F16" s="15">
        <f t="shared" si="6"/>
        <v>1.1693121693121693</v>
      </c>
      <c r="G16" s="15">
        <f t="shared" si="6"/>
        <v>1.0586034912718205</v>
      </c>
      <c r="H16" s="15">
        <f t="shared" si="6"/>
        <v>1.0421568627450981</v>
      </c>
      <c r="I16" s="15">
        <f t="shared" si="6"/>
        <v>1.0292028413575371</v>
      </c>
      <c r="J16" s="15">
        <f t="shared" si="6"/>
        <v>1.3256802721088439</v>
      </c>
    </row>
    <row r="17" spans="1:18" x14ac:dyDescent="0.25">
      <c r="A17" s="2" t="s">
        <v>36</v>
      </c>
      <c r="C17" s="82"/>
      <c r="D17" s="82"/>
      <c r="E17" s="82"/>
      <c r="F17" s="82"/>
      <c r="G17" s="72">
        <f>G15/G18</f>
        <v>2.0138885450636086</v>
      </c>
      <c r="H17" s="72">
        <f>H15/H18</f>
        <v>2.9113286292779068</v>
      </c>
      <c r="I17" s="72">
        <f t="shared" ref="I17:O17" si="7">I15/I18</f>
        <v>4.0339745851997844</v>
      </c>
      <c r="J17" s="72">
        <f>J15/J18</f>
        <v>4.9853613169682855</v>
      </c>
      <c r="K17" s="72">
        <f t="shared" si="7"/>
        <v>3.620542708833542</v>
      </c>
      <c r="L17" s="72">
        <f t="shared" si="7"/>
        <v>4.275257515347608</v>
      </c>
      <c r="M17" s="72">
        <f t="shared" si="7"/>
        <v>4.926412121531321</v>
      </c>
      <c r="N17" s="72">
        <f t="shared" si="7"/>
        <v>5.5686051302309396</v>
      </c>
      <c r="O17" s="72">
        <f t="shared" si="7"/>
        <v>6.1774392911361895</v>
      </c>
      <c r="P17" s="72">
        <f>P15/P18</f>
        <v>6.7604351242371683</v>
      </c>
      <c r="Q17" s="72"/>
    </row>
    <row r="18" spans="1:18" ht="32.25" thickBot="1" x14ac:dyDescent="0.3">
      <c r="A18" s="2" t="s">
        <v>38</v>
      </c>
      <c r="C18" s="82"/>
      <c r="D18" s="82"/>
      <c r="E18" s="82"/>
      <c r="F18" s="82"/>
      <c r="G18" s="72">
        <f>C50</f>
        <v>558.1</v>
      </c>
      <c r="H18" s="72">
        <f>G18*1</f>
        <v>558.1</v>
      </c>
      <c r="I18" s="72">
        <f t="shared" ref="I18:P18" si="8">H18*1</f>
        <v>558.1</v>
      </c>
      <c r="J18" s="72">
        <f t="shared" si="8"/>
        <v>558.1</v>
      </c>
      <c r="K18" s="72">
        <f t="shared" si="8"/>
        <v>558.1</v>
      </c>
      <c r="L18" s="72">
        <f t="shared" si="8"/>
        <v>558.1</v>
      </c>
      <c r="M18" s="72">
        <f t="shared" si="8"/>
        <v>558.1</v>
      </c>
      <c r="N18" s="72">
        <f t="shared" si="8"/>
        <v>558.1</v>
      </c>
      <c r="O18" s="72">
        <f t="shared" si="8"/>
        <v>558.1</v>
      </c>
      <c r="P18" s="72">
        <f t="shared" si="8"/>
        <v>558.1</v>
      </c>
      <c r="Q18" s="72"/>
    </row>
    <row r="19" spans="1:18" ht="16.5" thickBot="1" x14ac:dyDescent="0.3">
      <c r="A19" s="2"/>
      <c r="E19" s="51" t="s">
        <v>12</v>
      </c>
      <c r="F19" s="52"/>
      <c r="G19" s="53">
        <f>G15/(1+$C$55)</f>
        <v>1022.4709547418695</v>
      </c>
      <c r="H19" s="53">
        <f>H15/(1+$C$55)^2</f>
        <v>1344.6532475131776</v>
      </c>
      <c r="I19" s="53">
        <f>I15/(1+$C$55)^3</f>
        <v>1694.9455746049541</v>
      </c>
      <c r="J19" s="53">
        <f>J15/(1+$C$55)^4</f>
        <v>1905.5606011775085</v>
      </c>
      <c r="K19" s="53">
        <f>K15/(1+$C$55)^5</f>
        <v>1258.9350530432944</v>
      </c>
      <c r="L19" s="53">
        <f>L15/(1+$C$55)^6</f>
        <v>1352.3697749695611</v>
      </c>
      <c r="M19" s="53">
        <f>M15/(1+$C$55)^7</f>
        <v>1417.6448437951769</v>
      </c>
      <c r="N19" s="53">
        <f>N15/(1+$C$55)^8</f>
        <v>1457.7620879858782</v>
      </c>
      <c r="O19" s="53">
        <f>O15/(1+$C$55)^9</f>
        <v>1471.1340243550915</v>
      </c>
      <c r="P19" s="53">
        <f>P15/(1+$C$55)^10</f>
        <v>1464.6097774879267</v>
      </c>
      <c r="Q19" s="54">
        <f>(Q15/(C55-Q12))/(1+C55)^10</f>
        <v>19404.924496685464</v>
      </c>
    </row>
    <row r="20" spans="1:18" x14ac:dyDescent="0.2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0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79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79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79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79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1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6" t="s">
        <v>34</v>
      </c>
      <c r="H33" s="22"/>
      <c r="I33" s="77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3">
        <v>45108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32392.124</v>
      </c>
      <c r="D49" s="47">
        <f>SUM(G19:Q19)</f>
        <v>33795.010436359902</v>
      </c>
      <c r="E49" s="46" t="s">
        <v>46</v>
      </c>
    </row>
    <row r="50" spans="1:17" x14ac:dyDescent="0.25">
      <c r="A50" s="45"/>
      <c r="B50" s="46" t="s">
        <v>11</v>
      </c>
      <c r="C50" s="56">
        <v>558.1</v>
      </c>
      <c r="D50" s="56">
        <f>C50</f>
        <v>558.1</v>
      </c>
      <c r="E50" s="46"/>
    </row>
    <row r="51" spans="1:17" x14ac:dyDescent="0.25">
      <c r="A51" s="45"/>
      <c r="B51" s="46" t="s">
        <v>13</v>
      </c>
      <c r="C51" s="87">
        <v>58.04</v>
      </c>
      <c r="D51" s="56">
        <f>D49/(D50)</f>
        <v>60.553682917684824</v>
      </c>
      <c r="E51" s="46" t="s">
        <v>46</v>
      </c>
    </row>
    <row r="52" spans="1:17" x14ac:dyDescent="0.25">
      <c r="A52" s="45"/>
      <c r="B52" s="46" t="s">
        <v>2</v>
      </c>
      <c r="C52" s="46"/>
      <c r="D52" s="57">
        <f>IF(C51/D51-1&gt;0,0,C51/D51-1)*-1</f>
        <v>4.1511643826881106E-2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3">
        <v>0.108</v>
      </c>
      <c r="C57" s="50"/>
      <c r="D57" s="74">
        <f>SUM(H57:Q57)*1000</f>
        <v>28561149.203716058</v>
      </c>
      <c r="E57" s="46"/>
      <c r="F57" s="1" t="s">
        <v>23</v>
      </c>
      <c r="H57" s="1">
        <f>G15/(1+$B$57)</f>
        <v>1014.3963871841155</v>
      </c>
      <c r="I57" s="1">
        <f>H15/(1+$B$57)^2</f>
        <v>1323.4993516141221</v>
      </c>
      <c r="J57" s="1">
        <f>I15/(1+$B$57)^3</f>
        <v>1655.1063278500026</v>
      </c>
      <c r="K57" s="1">
        <f>J15/(1+$B$57)^4</f>
        <v>1846.0761879389222</v>
      </c>
      <c r="L57" s="1">
        <f>K15/(1+$B$57)^5</f>
        <v>1210.0042492204616</v>
      </c>
      <c r="M57" s="1">
        <f>L15/(1+$B$57)^6</f>
        <v>1289.5427355184975</v>
      </c>
      <c r="N57" s="1">
        <f>M15/(1+$B$57)^7</f>
        <v>1341.1101206655853</v>
      </c>
      <c r="O57" s="1">
        <f>N15/(1+$B$57)^8</f>
        <v>1368.1709424660185</v>
      </c>
      <c r="P57" s="1">
        <f>O15/(1+$B$57)^9</f>
        <v>1369.8173575592386</v>
      </c>
      <c r="Q57" s="1">
        <f>(Q15/(B57-Q12))/(1+B57)^10</f>
        <v>16143.425543699095</v>
      </c>
    </row>
    <row r="58" spans="1:17" ht="16.5" thickBot="1" x14ac:dyDescent="0.3">
      <c r="A58" s="22"/>
      <c r="C58" s="65"/>
      <c r="D58" s="66"/>
    </row>
    <row r="59" spans="1:17" x14ac:dyDescent="0.25">
      <c r="A59" s="59" t="s">
        <v>42</v>
      </c>
      <c r="B59" s="23"/>
      <c r="C59" s="67">
        <v>25</v>
      </c>
      <c r="D59" s="23"/>
      <c r="E59" s="24"/>
    </row>
    <row r="60" spans="1:17" x14ac:dyDescent="0.25">
      <c r="A60" s="25" t="s">
        <v>21</v>
      </c>
      <c r="C60" s="68" t="s">
        <v>40</v>
      </c>
      <c r="E60" s="26"/>
    </row>
    <row r="61" spans="1:17" x14ac:dyDescent="0.25">
      <c r="A61" s="25"/>
      <c r="C61" s="68"/>
      <c r="E61" s="26"/>
    </row>
    <row r="62" spans="1:17" x14ac:dyDescent="0.25">
      <c r="A62" s="25" t="s">
        <v>37</v>
      </c>
      <c r="C62" s="68"/>
      <c r="E62" s="60">
        <f>P17*C59</f>
        <v>169.01087810592921</v>
      </c>
    </row>
    <row r="63" spans="1:17" x14ac:dyDescent="0.25">
      <c r="A63" s="25"/>
      <c r="C63" s="68"/>
      <c r="E63" s="26"/>
    </row>
    <row r="64" spans="1:17" x14ac:dyDescent="0.25">
      <c r="A64" s="25" t="s">
        <v>17</v>
      </c>
      <c r="C64" s="69">
        <v>0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0</v>
      </c>
    </row>
    <row r="67" spans="1:5" x14ac:dyDescent="0.25">
      <c r="A67" s="25"/>
      <c r="E67" s="61"/>
    </row>
    <row r="68" spans="1:5" x14ac:dyDescent="0.25">
      <c r="A68" s="103" t="s">
        <v>47</v>
      </c>
      <c r="E68" s="104">
        <f>(E66*0.25)*-1</f>
        <v>0</v>
      </c>
    </row>
    <row r="69" spans="1:5" x14ac:dyDescent="0.25">
      <c r="A69" s="25"/>
      <c r="C69" s="41"/>
      <c r="D69" s="41"/>
      <c r="E69" s="62"/>
    </row>
    <row r="70" spans="1:5" x14ac:dyDescent="0.25">
      <c r="A70" s="25" t="s">
        <v>43</v>
      </c>
      <c r="E70" s="60">
        <f>SUM(E62:E68)</f>
        <v>169.01087810592921</v>
      </c>
    </row>
    <row r="71" spans="1:5" x14ac:dyDescent="0.25">
      <c r="A71" s="25"/>
      <c r="E71" s="60"/>
    </row>
    <row r="72" spans="1:5" x14ac:dyDescent="0.25">
      <c r="A72" s="25" t="s">
        <v>44</v>
      </c>
      <c r="E72" s="62">
        <f>E70/C51-1</f>
        <v>1.9119724001710754</v>
      </c>
    </row>
    <row r="73" spans="1:5" x14ac:dyDescent="0.25">
      <c r="A73" s="25"/>
      <c r="E73" s="26"/>
    </row>
    <row r="74" spans="1:5" ht="16.5" thickBot="1" x14ac:dyDescent="0.3">
      <c r="A74" s="63" t="s">
        <v>45</v>
      </c>
      <c r="B74" s="64"/>
      <c r="C74" s="64"/>
      <c r="D74" s="64"/>
      <c r="E74" s="102">
        <f>(E70/C51)^(1/10)-1</f>
        <v>0.11280412137986939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zoomScaleNormal="100" workbookViewId="0">
      <selection activeCell="B4" sqref="B4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2">
        <v>2177.9499999999998</v>
      </c>
      <c r="D11" s="82">
        <v>4385.38</v>
      </c>
      <c r="E11" s="82">
        <v>9959.81</v>
      </c>
      <c r="F11" s="82">
        <v>12455.56</v>
      </c>
      <c r="G11" s="72">
        <f t="shared" ref="G11" si="0">F11*(1+G12)</f>
        <v>13389.726999999999</v>
      </c>
      <c r="H11" s="72">
        <f t="shared" ref="H11" si="1">G11*(1+H12)</f>
        <v>14393.956524999998</v>
      </c>
      <c r="I11" s="72">
        <f t="shared" ref="I11" si="2">H11*(1+I12)</f>
        <v>15473.503264374996</v>
      </c>
      <c r="J11" s="72">
        <f t="shared" ref="J11" si="3">I11*(1+J12)</f>
        <v>16634.016009203122</v>
      </c>
      <c r="K11" s="72">
        <f t="shared" ref="K11" si="4">J11*(1+K12)</f>
        <v>17881.567209893354</v>
      </c>
      <c r="L11" s="72">
        <f t="shared" ref="L11" si="5">K11*(1+L12)</f>
        <v>19222.684750635355</v>
      </c>
      <c r="M11" s="72">
        <f t="shared" ref="M11:Q11" si="6">L11*(1+M12)</f>
        <v>20664.386106933005</v>
      </c>
      <c r="N11" s="72">
        <f t="shared" si="6"/>
        <v>22214.215064952979</v>
      </c>
      <c r="O11" s="72">
        <f t="shared" si="6"/>
        <v>23880.281194824453</v>
      </c>
      <c r="P11" s="72">
        <f t="shared" si="6"/>
        <v>25074.295254565677</v>
      </c>
      <c r="Q11" s="72">
        <f t="shared" si="6"/>
        <v>25575.781159656992</v>
      </c>
    </row>
    <row r="12" spans="1:28" x14ac:dyDescent="0.25">
      <c r="A12" s="5"/>
      <c r="B12" s="4" t="s">
        <v>1</v>
      </c>
      <c r="C12" s="86"/>
      <c r="D12" s="89">
        <f t="shared" ref="D12:F12" si="7">D11/C11-1</f>
        <v>1.0135356642714481</v>
      </c>
      <c r="E12" s="89">
        <f t="shared" si="7"/>
        <v>1.271139559171611</v>
      </c>
      <c r="F12" s="89">
        <f t="shared" si="7"/>
        <v>0.25058208941736848</v>
      </c>
      <c r="G12" s="85">
        <v>7.4999999999999997E-2</v>
      </c>
      <c r="H12" s="85">
        <f>G12</f>
        <v>7.4999999999999997E-2</v>
      </c>
      <c r="I12" s="85">
        <f t="shared" ref="I12:O12" si="8">H12</f>
        <v>7.4999999999999997E-2</v>
      </c>
      <c r="J12" s="85">
        <f t="shared" si="8"/>
        <v>7.4999999999999997E-2</v>
      </c>
      <c r="K12" s="85">
        <f t="shared" si="8"/>
        <v>7.4999999999999997E-2</v>
      </c>
      <c r="L12" s="85">
        <f t="shared" si="8"/>
        <v>7.4999999999999997E-2</v>
      </c>
      <c r="M12" s="85">
        <f t="shared" si="8"/>
        <v>7.4999999999999997E-2</v>
      </c>
      <c r="N12" s="85">
        <f t="shared" si="8"/>
        <v>7.4999999999999997E-2</v>
      </c>
      <c r="O12" s="85">
        <f t="shared" si="8"/>
        <v>7.4999999999999997E-2</v>
      </c>
      <c r="P12" s="85">
        <v>0.05</v>
      </c>
      <c r="Q12" s="85">
        <v>0.02</v>
      </c>
    </row>
    <row r="13" spans="1:28" ht="15.95" customHeight="1" x14ac:dyDescent="0.25">
      <c r="A13" s="5"/>
      <c r="B13" s="4" t="s">
        <v>15</v>
      </c>
      <c r="C13" s="88">
        <v>-0.41699999999999998</v>
      </c>
      <c r="D13" s="88">
        <v>-0.34</v>
      </c>
      <c r="E13" s="88">
        <v>-0.18790000000000001</v>
      </c>
      <c r="F13" s="88">
        <v>-0.1134</v>
      </c>
      <c r="G13" s="84">
        <v>8.0199999999999994E-2</v>
      </c>
      <c r="H13" s="84">
        <v>0.10199999999999999</v>
      </c>
      <c r="I13" s="84">
        <v>0.12670000000000001</v>
      </c>
      <c r="J13" s="84">
        <v>0.1176</v>
      </c>
      <c r="K13" s="84">
        <v>0.12</v>
      </c>
      <c r="L13" s="84">
        <v>0.13</v>
      </c>
      <c r="M13" s="84">
        <v>0.14000000000000001</v>
      </c>
      <c r="N13" s="84">
        <v>0.15</v>
      </c>
      <c r="O13" s="84">
        <v>0.16</v>
      </c>
      <c r="P13" s="84">
        <v>0.17</v>
      </c>
      <c r="Q13" s="84">
        <v>0.17499999999999999</v>
      </c>
    </row>
    <row r="14" spans="1:28" ht="17.100000000000001" customHeight="1" x14ac:dyDescent="0.25">
      <c r="A14" s="5"/>
      <c r="B14" s="4" t="s">
        <v>16</v>
      </c>
      <c r="C14" s="82">
        <f>C11*C13</f>
        <v>-908.20514999999989</v>
      </c>
      <c r="D14" s="82">
        <f t="shared" ref="D14:Q14" si="9">D11*D13</f>
        <v>-1491.0292000000002</v>
      </c>
      <c r="E14" s="82">
        <f t="shared" si="9"/>
        <v>-1871.4482989999999</v>
      </c>
      <c r="F14" s="82">
        <f t="shared" si="9"/>
        <v>-1412.4605039999999</v>
      </c>
      <c r="G14" s="72">
        <f t="shared" si="9"/>
        <v>1073.8561053999999</v>
      </c>
      <c r="H14" s="72">
        <f t="shared" si="9"/>
        <v>1468.1835655499997</v>
      </c>
      <c r="I14" s="72">
        <f t="shared" si="9"/>
        <v>1960.4928635963122</v>
      </c>
      <c r="J14" s="72">
        <f t="shared" si="9"/>
        <v>1956.1602826822871</v>
      </c>
      <c r="K14" s="72">
        <f t="shared" si="9"/>
        <v>2145.7880651872024</v>
      </c>
      <c r="L14" s="72">
        <f t="shared" si="9"/>
        <v>2498.9490175825963</v>
      </c>
      <c r="M14" s="72">
        <f t="shared" si="9"/>
        <v>2893.0140549706211</v>
      </c>
      <c r="N14" s="72">
        <f t="shared" si="9"/>
        <v>3332.1322597429466</v>
      </c>
      <c r="O14" s="72">
        <f>O11*O13</f>
        <v>3820.8449911719126</v>
      </c>
      <c r="P14" s="72">
        <f t="shared" si="9"/>
        <v>4262.6301932761653</v>
      </c>
      <c r="Q14" s="72">
        <f t="shared" si="9"/>
        <v>4475.7617029399735</v>
      </c>
    </row>
    <row r="15" spans="1:28" x14ac:dyDescent="0.25">
      <c r="A15" s="100">
        <v>0.15</v>
      </c>
      <c r="B15" s="4" t="s">
        <v>39</v>
      </c>
      <c r="C15" s="82">
        <v>-1464.4535799999999</v>
      </c>
      <c r="D15" s="82">
        <v>-1621.713524</v>
      </c>
      <c r="E15" s="82">
        <v>-2047.736936</v>
      </c>
      <c r="F15" s="82">
        <v>-1651.6072559999998</v>
      </c>
      <c r="G15" s="72">
        <v>1123.9511970000001</v>
      </c>
      <c r="H15" s="72">
        <v>1624.812508</v>
      </c>
      <c r="I15" s="72">
        <v>2251.3612159999998</v>
      </c>
      <c r="J15" s="72">
        <v>2782.3301510000001</v>
      </c>
      <c r="K15" s="72">
        <f t="shared" ref="K15:Q15" si="10">K14*(1-$A$15)</f>
        <v>1823.919855409122</v>
      </c>
      <c r="L15" s="72">
        <f t="shared" si="10"/>
        <v>2124.1066649452068</v>
      </c>
      <c r="M15" s="72">
        <f t="shared" si="10"/>
        <v>2459.0619467250281</v>
      </c>
      <c r="N15" s="72">
        <f t="shared" si="10"/>
        <v>2832.3124207815044</v>
      </c>
      <c r="O15" s="72">
        <f>O14*(1-$A$15)</f>
        <v>3247.7182424961256</v>
      </c>
      <c r="P15" s="72">
        <f t="shared" si="10"/>
        <v>3623.2356642847403</v>
      </c>
      <c r="Q15" s="72">
        <f t="shared" si="10"/>
        <v>3804.3974474989773</v>
      </c>
    </row>
    <row r="16" spans="1:28" ht="32.25" hidden="1" thickBot="1" x14ac:dyDescent="0.3">
      <c r="A16" s="13" t="s">
        <v>6</v>
      </c>
      <c r="B16" s="14"/>
      <c r="C16" s="15">
        <f t="shared" ref="C16:J16" si="11">C15/C14</f>
        <v>1.6124700239808154</v>
      </c>
      <c r="D16" s="15">
        <f t="shared" si="11"/>
        <v>1.0876470588235292</v>
      </c>
      <c r="E16" s="15">
        <f t="shared" si="11"/>
        <v>1.0941990420436403</v>
      </c>
      <c r="F16" s="15">
        <f t="shared" si="11"/>
        <v>1.1693121693121693</v>
      </c>
      <c r="G16" s="15">
        <f t="shared" si="11"/>
        <v>1.0466497246214754</v>
      </c>
      <c r="H16" s="15">
        <f t="shared" si="11"/>
        <v>1.1066821248549565</v>
      </c>
      <c r="I16" s="15">
        <f t="shared" si="11"/>
        <v>1.1483649126220847</v>
      </c>
      <c r="J16" s="15">
        <f t="shared" si="11"/>
        <v>1.4223426248000848</v>
      </c>
    </row>
    <row r="17" spans="1:18" x14ac:dyDescent="0.25">
      <c r="A17" s="2" t="s">
        <v>36</v>
      </c>
      <c r="C17" s="82"/>
      <c r="D17" s="82"/>
      <c r="E17" s="82"/>
      <c r="F17" s="82"/>
      <c r="G17" s="72">
        <f>G15/G18</f>
        <v>2.0138885450636086</v>
      </c>
      <c r="H17" s="72">
        <f t="shared" ref="H17:O17" si="12">H15/H18</f>
        <v>2.9113286292779068</v>
      </c>
      <c r="I17" s="72">
        <f t="shared" si="12"/>
        <v>4.0339745851997844</v>
      </c>
      <c r="J17" s="72">
        <f t="shared" si="12"/>
        <v>4.9853613169682855</v>
      </c>
      <c r="K17" s="72">
        <f t="shared" si="12"/>
        <v>3.2680878971673928</v>
      </c>
      <c r="L17" s="72">
        <f t="shared" si="12"/>
        <v>3.8059606969095263</v>
      </c>
      <c r="M17" s="72">
        <f t="shared" si="12"/>
        <v>4.4061314221914136</v>
      </c>
      <c r="N17" s="72">
        <f t="shared" si="12"/>
        <v>5.0749192273454655</v>
      </c>
      <c r="O17" s="72">
        <f t="shared" si="12"/>
        <v>5.8192407140228015</v>
      </c>
      <c r="P17" s="72">
        <f>P15/P18</f>
        <v>6.4920904215816879</v>
      </c>
      <c r="Q17" s="72"/>
    </row>
    <row r="18" spans="1:18" ht="32.25" thickBot="1" x14ac:dyDescent="0.3">
      <c r="A18" s="2" t="s">
        <v>38</v>
      </c>
      <c r="C18" s="82"/>
      <c r="D18" s="82"/>
      <c r="E18" s="82"/>
      <c r="F18" s="82"/>
      <c r="G18" s="72">
        <f>C50</f>
        <v>558.1</v>
      </c>
      <c r="H18" s="72">
        <f>G18*1</f>
        <v>558.1</v>
      </c>
      <c r="I18" s="72">
        <f t="shared" ref="I18:P18" si="13">H18*1</f>
        <v>558.1</v>
      </c>
      <c r="J18" s="72">
        <f t="shared" si="13"/>
        <v>558.1</v>
      </c>
      <c r="K18" s="72">
        <f t="shared" si="13"/>
        <v>558.1</v>
      </c>
      <c r="L18" s="72">
        <f t="shared" si="13"/>
        <v>558.1</v>
      </c>
      <c r="M18" s="72">
        <f t="shared" si="13"/>
        <v>558.1</v>
      </c>
      <c r="N18" s="72">
        <f t="shared" si="13"/>
        <v>558.1</v>
      </c>
      <c r="O18" s="72">
        <f t="shared" si="13"/>
        <v>558.1</v>
      </c>
      <c r="P18" s="72">
        <f t="shared" si="13"/>
        <v>558.1</v>
      </c>
      <c r="Q18" s="72"/>
    </row>
    <row r="19" spans="1:18" ht="16.5" thickBot="1" x14ac:dyDescent="0.3">
      <c r="A19" s="2"/>
      <c r="E19" s="51" t="s">
        <v>12</v>
      </c>
      <c r="F19" s="52"/>
      <c r="G19" s="53">
        <f>G15/(1+$C$55)</f>
        <v>1022.4709547418695</v>
      </c>
      <c r="H19" s="53">
        <f>H15/(1+$C$55)^2</f>
        <v>1344.6532475131776</v>
      </c>
      <c r="I19" s="53">
        <f>I15/(1+$C$55)^3</f>
        <v>1694.9455746049541</v>
      </c>
      <c r="J19" s="53">
        <f>J15/(1+$C$55)^4</f>
        <v>1905.5606011775085</v>
      </c>
      <c r="K19" s="53">
        <f>K15/(1+$C$55)^5</f>
        <v>1136.3794715450599</v>
      </c>
      <c r="L19" s="53">
        <f>L15/(1+$C$55)^6</f>
        <v>1203.9195750771139</v>
      </c>
      <c r="M19" s="53">
        <f>M15/(1+$C$55)^7</f>
        <v>1267.9267056147071</v>
      </c>
      <c r="N19" s="53">
        <f>N15/(1+$C$55)^8</f>
        <v>1328.5238719930564</v>
      </c>
      <c r="O19" s="53">
        <f>O15/(1+$C$55)^9</f>
        <v>1385.8303751515773</v>
      </c>
      <c r="P19" s="53">
        <f>P15/(1+$C$55)^10</f>
        <v>1406.4744255433054</v>
      </c>
      <c r="Q19" s="54">
        <f>(Q15/(C55-Q12))/(1+C55)^10</f>
        <v>18634.67693148859</v>
      </c>
    </row>
    <row r="20" spans="1:18" x14ac:dyDescent="0.2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0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79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79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79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79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1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6" t="s">
        <v>34</v>
      </c>
      <c r="H33" s="22"/>
      <c r="I33" s="77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3">
        <v>45108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32392.124</v>
      </c>
      <c r="D49" s="47">
        <f>SUM(G19:Q19)</f>
        <v>32331.361734450918</v>
      </c>
      <c r="E49" s="46" t="s">
        <v>46</v>
      </c>
    </row>
    <row r="50" spans="1:17" x14ac:dyDescent="0.25">
      <c r="A50" s="45"/>
      <c r="B50" s="46" t="s">
        <v>11</v>
      </c>
      <c r="C50" s="56">
        <v>558.1</v>
      </c>
      <c r="D50" s="56">
        <f>C50</f>
        <v>558.1</v>
      </c>
      <c r="E50" s="46"/>
    </row>
    <row r="51" spans="1:17" x14ac:dyDescent="0.25">
      <c r="A51" s="45"/>
      <c r="B51" s="46" t="s">
        <v>13</v>
      </c>
      <c r="C51" s="87">
        <v>58.04</v>
      </c>
      <c r="D51" s="87">
        <f>D49/(D50)</f>
        <v>57.931126562356063</v>
      </c>
      <c r="E51" s="46" t="s">
        <v>46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1.8793599245259252E-3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3">
        <v>0.108</v>
      </c>
      <c r="C57" s="50"/>
      <c r="D57" s="74">
        <f>SUM(H57:Q57)*1000</f>
        <v>27318656.189110618</v>
      </c>
      <c r="E57" s="46"/>
      <c r="F57" s="1" t="s">
        <v>23</v>
      </c>
      <c r="H57" s="1">
        <f>G15/(1+$B$57)</f>
        <v>1014.3963871841155</v>
      </c>
      <c r="I57" s="1">
        <f>H15/(1+$B$57)^2</f>
        <v>1323.4993516141221</v>
      </c>
      <c r="J57" s="1">
        <f>I15/(1+$B$57)^3</f>
        <v>1655.1063278500026</v>
      </c>
      <c r="K57" s="1">
        <f>J15/(1+$B$57)^4</f>
        <v>1846.0761879389222</v>
      </c>
      <c r="L57" s="1">
        <f>K15/(1+$B$57)^5</f>
        <v>1092.2120136161927</v>
      </c>
      <c r="M57" s="1">
        <f>L15/(1+$B$57)^6</f>
        <v>1147.9890862128682</v>
      </c>
      <c r="N57" s="1">
        <f>M15/(1+$B$57)^7</f>
        <v>1199.4748505625982</v>
      </c>
      <c r="O57" s="1">
        <f>N15/(1+$B$57)^8</f>
        <v>1246.8754490279707</v>
      </c>
      <c r="P57" s="1">
        <f>O15/(1+$B$57)^9</f>
        <v>1290.3885513406196</v>
      </c>
      <c r="Q57" s="1">
        <f>(Q15/(B57-Q12))/(1+B57)^10</f>
        <v>15502.637983763207</v>
      </c>
    </row>
    <row r="58" spans="1:17" ht="16.5" thickBot="1" x14ac:dyDescent="0.3">
      <c r="A58" s="22"/>
      <c r="C58" s="65"/>
      <c r="D58" s="66"/>
    </row>
    <row r="59" spans="1:17" x14ac:dyDescent="0.25">
      <c r="A59" s="59" t="s">
        <v>42</v>
      </c>
      <c r="B59" s="23"/>
      <c r="C59" s="67">
        <v>24</v>
      </c>
      <c r="D59" s="23"/>
      <c r="E59" s="24"/>
    </row>
    <row r="60" spans="1:17" x14ac:dyDescent="0.25">
      <c r="A60" s="25" t="s">
        <v>21</v>
      </c>
      <c r="C60" s="68" t="s">
        <v>40</v>
      </c>
      <c r="E60" s="26"/>
    </row>
    <row r="61" spans="1:17" x14ac:dyDescent="0.25">
      <c r="A61" s="25"/>
      <c r="C61" s="68"/>
      <c r="E61" s="26"/>
    </row>
    <row r="62" spans="1:17" x14ac:dyDescent="0.25">
      <c r="A62" s="25" t="s">
        <v>37</v>
      </c>
      <c r="C62" s="68"/>
      <c r="E62" s="60">
        <f>P17*C59</f>
        <v>155.81017011796052</v>
      </c>
    </row>
    <row r="63" spans="1:17" x14ac:dyDescent="0.25">
      <c r="A63" s="25"/>
      <c r="C63" s="68"/>
      <c r="E63" s="26"/>
    </row>
    <row r="64" spans="1:17" x14ac:dyDescent="0.25">
      <c r="A64" s="25" t="s">
        <v>17</v>
      </c>
      <c r="C64" s="69">
        <v>0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0</v>
      </c>
    </row>
    <row r="67" spans="1:5" x14ac:dyDescent="0.25">
      <c r="A67" s="25"/>
      <c r="E67" s="61"/>
    </row>
    <row r="68" spans="1:5" x14ac:dyDescent="0.25">
      <c r="A68" s="103" t="s">
        <v>47</v>
      </c>
      <c r="E68" s="104">
        <f>(E66*0.25)*-1</f>
        <v>0</v>
      </c>
    </row>
    <row r="69" spans="1:5" x14ac:dyDescent="0.25">
      <c r="A69" s="25"/>
      <c r="C69" s="41"/>
      <c r="D69" s="41"/>
      <c r="E69" s="62"/>
    </row>
    <row r="70" spans="1:5" x14ac:dyDescent="0.25">
      <c r="A70" s="25" t="s">
        <v>43</v>
      </c>
      <c r="E70" s="60">
        <f>SUM(E62:E68)</f>
        <v>155.81017011796052</v>
      </c>
    </row>
    <row r="71" spans="1:5" x14ac:dyDescent="0.25">
      <c r="A71" s="25"/>
      <c r="E71" s="60"/>
    </row>
    <row r="72" spans="1:5" x14ac:dyDescent="0.25">
      <c r="A72" s="25" t="s">
        <v>44</v>
      </c>
      <c r="E72" s="62">
        <f>E70/C51-1</f>
        <v>1.6845308428318493</v>
      </c>
    </row>
    <row r="73" spans="1:5" x14ac:dyDescent="0.25">
      <c r="A73" s="25"/>
      <c r="E73" s="26"/>
    </row>
    <row r="74" spans="1:5" ht="16.5" thickBot="1" x14ac:dyDescent="0.3">
      <c r="A74" s="63" t="s">
        <v>45</v>
      </c>
      <c r="B74" s="64"/>
      <c r="C74" s="64"/>
      <c r="D74" s="64"/>
      <c r="E74" s="102">
        <f>(E70/C51)^(1/10)-1</f>
        <v>0.10379097755465638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2023-07-01T09:20:38Z</dcterms:modified>
</cp:coreProperties>
</file>