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4C16ACC5-C409-4D4C-B90B-AF235D6A41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ssimistisch" sheetId="34" r:id="rId1"/>
    <sheet name="Optimistisch" sheetId="32" r:id="rId2"/>
    <sheet name="Wachstum für faire Bewertung" sheetId="3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35" l="1"/>
  <c r="J12" i="32" l="1"/>
  <c r="J12" i="34" l="1"/>
  <c r="H12" i="34" l="1"/>
  <c r="I12" i="34"/>
  <c r="H12" i="32"/>
  <c r="I12" i="32"/>
  <c r="G11" i="35"/>
  <c r="H11" i="35" l="1"/>
  <c r="I12" i="35" l="1"/>
  <c r="J12" i="35" s="1"/>
  <c r="K12" i="35" s="1"/>
  <c r="L12" i="35" s="1"/>
  <c r="M12" i="35" s="1"/>
  <c r="N12" i="35" s="1"/>
  <c r="O12" i="35" s="1"/>
  <c r="D50" i="35"/>
  <c r="C49" i="35"/>
  <c r="I31" i="35"/>
  <c r="I33" i="35" s="1"/>
  <c r="D46" i="35" s="1"/>
  <c r="C55" i="35" s="1"/>
  <c r="I25" i="35"/>
  <c r="G18" i="35"/>
  <c r="H18" i="35" s="1"/>
  <c r="I18" i="35" s="1"/>
  <c r="J18" i="35" s="1"/>
  <c r="K18" i="35" s="1"/>
  <c r="L18" i="35" s="1"/>
  <c r="M18" i="35" s="1"/>
  <c r="N18" i="35" s="1"/>
  <c r="O18" i="35" s="1"/>
  <c r="P18" i="35" s="1"/>
  <c r="F14" i="35"/>
  <c r="F16" i="35" s="1"/>
  <c r="E14" i="35"/>
  <c r="E16" i="35" s="1"/>
  <c r="D14" i="35"/>
  <c r="D16" i="35" s="1"/>
  <c r="C14" i="35"/>
  <c r="C16" i="35" s="1"/>
  <c r="F12" i="35"/>
  <c r="E12" i="35"/>
  <c r="D12" i="35"/>
  <c r="I11" i="35" l="1"/>
  <c r="J11" i="35" s="1"/>
  <c r="K11" i="35" s="1"/>
  <c r="L11" i="35" s="1"/>
  <c r="D14" i="34" l="1"/>
  <c r="E14" i="34"/>
  <c r="F14" i="34"/>
  <c r="G14" i="34"/>
  <c r="H14" i="34"/>
  <c r="C14" i="34"/>
  <c r="D50" i="34" l="1"/>
  <c r="D50" i="32"/>
  <c r="G18" i="34"/>
  <c r="H18" i="34" s="1"/>
  <c r="I18" i="34" s="1"/>
  <c r="J18" i="34" s="1"/>
  <c r="K18" i="34" s="1"/>
  <c r="L18" i="34" s="1"/>
  <c r="M18" i="34" s="1"/>
  <c r="N18" i="34" s="1"/>
  <c r="O18" i="34" s="1"/>
  <c r="P18" i="34" s="1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G14" i="32" l="1"/>
  <c r="H14" i="32"/>
  <c r="I14" i="32"/>
  <c r="D14" i="32"/>
  <c r="E14" i="32"/>
  <c r="F14" i="32"/>
  <c r="C14" i="32"/>
  <c r="I25" i="32" l="1"/>
  <c r="G12" i="34" l="1"/>
  <c r="E12" i="34"/>
  <c r="F12" i="34"/>
  <c r="D12" i="34"/>
  <c r="D12" i="32" l="1"/>
  <c r="E12" i="32"/>
  <c r="F12" i="32"/>
  <c r="G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G19" i="32" l="1"/>
  <c r="H19" i="34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H17" i="32" l="1"/>
  <c r="G17" i="32"/>
  <c r="I17" i="32" l="1"/>
  <c r="H14" i="35" l="1"/>
  <c r="G14" i="35"/>
  <c r="I14" i="35" l="1"/>
  <c r="I57" i="35" l="1"/>
  <c r="H19" i="35"/>
  <c r="H17" i="35"/>
  <c r="H16" i="35"/>
  <c r="H57" i="35"/>
  <c r="G19" i="35"/>
  <c r="G17" i="35"/>
  <c r="G16" i="35"/>
  <c r="J14" i="35"/>
  <c r="J57" i="35" l="1"/>
  <c r="I19" i="35"/>
  <c r="I17" i="35"/>
  <c r="I16" i="35"/>
  <c r="J16" i="35"/>
  <c r="K14" i="35"/>
  <c r="K15" i="35" s="1"/>
  <c r="K57" i="35" l="1"/>
  <c r="J19" i="35"/>
  <c r="J17" i="35"/>
  <c r="K17" i="35"/>
  <c r="K19" i="35"/>
  <c r="L57" i="35"/>
  <c r="M11" i="35"/>
  <c r="L14" i="35"/>
  <c r="L15" i="35" s="1"/>
  <c r="M57" i="35" l="1"/>
  <c r="L17" i="35"/>
  <c r="L19" i="35"/>
  <c r="M14" i="35"/>
  <c r="M15" i="35" s="1"/>
  <c r="N11" i="35"/>
  <c r="N14" i="35" l="1"/>
  <c r="N15" i="35" s="1"/>
  <c r="O11" i="35"/>
  <c r="M19" i="35"/>
  <c r="N57" i="35"/>
  <c r="M17" i="35"/>
  <c r="P11" i="35" l="1"/>
  <c r="O14" i="35"/>
  <c r="O15" i="35" s="1"/>
  <c r="N17" i="35"/>
  <c r="N19" i="35"/>
  <c r="O57" i="35"/>
  <c r="O17" i="35" l="1"/>
  <c r="O19" i="35"/>
  <c r="P57" i="35"/>
  <c r="Q11" i="35"/>
  <c r="Q14" i="35" s="1"/>
  <c r="Q15" i="35" s="1"/>
  <c r="P14" i="35"/>
  <c r="P15" i="35" s="1"/>
  <c r="D42" i="35" l="1"/>
  <c r="D40" i="35"/>
  <c r="D41" i="35"/>
  <c r="P19" i="35"/>
  <c r="P17" i="35"/>
  <c r="Q19" i="35"/>
  <c r="Q57" i="35"/>
  <c r="D57" i="35" s="1"/>
  <c r="D43" i="35"/>
  <c r="D44" i="35"/>
  <c r="D49" i="35" l="1"/>
  <c r="D51" i="35" s="1"/>
  <c r="D53" i="35" s="1"/>
  <c r="E62" i="35"/>
  <c r="E66" i="35"/>
  <c r="E68" i="35" s="1"/>
  <c r="E70" i="35" l="1"/>
  <c r="E74" i="35" s="1"/>
  <c r="D52" i="35" l="1"/>
  <c r="E72" i="35"/>
  <c r="I14" i="34" l="1"/>
  <c r="I19" i="34" l="1"/>
  <c r="I17" i="34"/>
  <c r="J57" i="34"/>
  <c r="I16" i="34"/>
  <c r="J14" i="34"/>
  <c r="K11" i="34" l="1"/>
  <c r="J19" i="34" l="1"/>
  <c r="K57" i="34"/>
  <c r="J17" i="34"/>
  <c r="J16" i="34"/>
  <c r="L11" i="34"/>
  <c r="K14" i="34"/>
  <c r="K15" i="34" s="1"/>
  <c r="K17" i="34" l="1"/>
  <c r="L57" i="34"/>
  <c r="K19" i="34"/>
  <c r="M11" i="34"/>
  <c r="L14" i="34"/>
  <c r="L15" i="34" s="1"/>
  <c r="L19" i="34" l="1"/>
  <c r="L17" i="34"/>
  <c r="M57" i="34"/>
  <c r="M14" i="34"/>
  <c r="M15" i="34" s="1"/>
  <c r="N11" i="34"/>
  <c r="N14" i="34" l="1"/>
  <c r="N15" i="34" s="1"/>
  <c r="O11" i="34"/>
  <c r="M19" i="34"/>
  <c r="N57" i="34"/>
  <c r="M17" i="34"/>
  <c r="O14" i="34" l="1"/>
  <c r="O15" i="34" s="1"/>
  <c r="P11" i="34"/>
  <c r="O57" i="34"/>
  <c r="N17" i="34"/>
  <c r="N19" i="34"/>
  <c r="Q11" i="34" l="1"/>
  <c r="Q14" i="34" s="1"/>
  <c r="Q15" i="34" s="1"/>
  <c r="P14" i="34"/>
  <c r="P15" i="34" s="1"/>
  <c r="P57" i="34"/>
  <c r="O17" i="34"/>
  <c r="O19" i="34"/>
  <c r="D44" i="34" l="1"/>
  <c r="D41" i="34"/>
  <c r="D43" i="34"/>
  <c r="D42" i="34"/>
  <c r="P17" i="34"/>
  <c r="P19" i="34"/>
  <c r="D40" i="34"/>
  <c r="Q19" i="34"/>
  <c r="Q57" i="34"/>
  <c r="D57" i="34" s="1"/>
  <c r="D49" i="34" l="1"/>
  <c r="D51" i="34" s="1"/>
  <c r="D52" i="34" s="1"/>
  <c r="D53" i="34"/>
  <c r="E62" i="34"/>
  <c r="E66" i="34"/>
  <c r="E68" i="34" s="1"/>
  <c r="E70" i="34" l="1"/>
  <c r="E72" i="34" s="1"/>
  <c r="J14" i="32"/>
  <c r="E74" i="34" l="1"/>
  <c r="K11" i="32"/>
  <c r="J19" i="32" l="1"/>
  <c r="K57" i="32"/>
  <c r="J17" i="32"/>
  <c r="J16" i="32"/>
  <c r="L11" i="32"/>
  <c r="K14" i="32"/>
  <c r="K15" i="32" s="1"/>
  <c r="K19" i="32" l="1"/>
  <c r="L57" i="32"/>
  <c r="K17" i="32"/>
  <c r="M11" i="32"/>
  <c r="L14" i="32"/>
  <c r="L15" i="32" s="1"/>
  <c r="M57" i="32" l="1"/>
  <c r="L17" i="32"/>
  <c r="L19" i="32"/>
  <c r="M14" i="32"/>
  <c r="M15" i="32" s="1"/>
  <c r="N11" i="32"/>
  <c r="M17" i="32" l="1"/>
  <c r="N57" i="32"/>
  <c r="M19" i="32"/>
  <c r="N14" i="32"/>
  <c r="N15" i="32" s="1"/>
  <c r="O11" i="32"/>
  <c r="O57" i="32" l="1"/>
  <c r="N17" i="32"/>
  <c r="N19" i="32"/>
  <c r="O14" i="32"/>
  <c r="O15" i="32" s="1"/>
  <c r="P11" i="32"/>
  <c r="Q11" i="32" l="1"/>
  <c r="Q14" i="32" s="1"/>
  <c r="Q15" i="32" s="1"/>
  <c r="P14" i="32"/>
  <c r="P15" i="32" s="1"/>
  <c r="O19" i="32"/>
  <c r="P57" i="32"/>
  <c r="O17" i="32"/>
  <c r="D40" i="32" l="1"/>
  <c r="D41" i="32"/>
  <c r="P19" i="32"/>
  <c r="P17" i="32"/>
  <c r="D44" i="32"/>
  <c r="Q19" i="32"/>
  <c r="Q57" i="32"/>
  <c r="D57" i="32" s="1"/>
  <c r="D43" i="32"/>
  <c r="D42" i="32"/>
  <c r="D49" i="32" l="1"/>
  <c r="D51" i="32" s="1"/>
  <c r="E62" i="32"/>
  <c r="E66" i="32"/>
  <c r="E68" i="32" s="1"/>
  <c r="E70" i="32" l="1"/>
  <c r="D52" i="32"/>
  <c r="D53" i="32"/>
  <c r="E72" i="32" l="1"/>
  <c r="E74" i="32"/>
</calcChain>
</file>

<file path=xl/sharedStrings.xml><?xml version="1.0" encoding="utf-8"?>
<sst xmlns="http://schemas.openxmlformats.org/spreadsheetml/2006/main" count="148" uniqueCount="50">
  <si>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</si>
  <si>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</si>
  <si>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</si>
  <si>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</si>
  <si>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</si>
  <si>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</si>
  <si>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</si>
  <si>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</si>
  <si>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</si>
  <si>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</si>
  <si>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</si>
  <si>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</si>
  <si>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</si>
  <si>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</si>
  <si>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</si>
  <si>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</si>
  <si>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</si>
  <si>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</si>
  <si>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</si>
  <si>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</si>
  <si>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</si>
  <si>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</si>
  <si>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</si>
  <si>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</si>
  <si>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</si>
  <si>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</si>
  <si>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</si>
  <si>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</si>
  <si>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</si>
  <si>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</si>
  <si>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</si>
  <si>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</si>
  <si>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</si>
  <si>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</si>
  <si>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</si>
  <si>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</si>
  <si>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</si>
  <si>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</si>
  <si>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</si>
  <si>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</si>
  <si>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</si>
  <si>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>2033ff.</t>
  </si>
  <si>
    <t>KGV Multiple in 2032</t>
  </si>
  <si>
    <t>Gesamtwert 2032</t>
  </si>
  <si>
    <t>Steigerung Gesamt bis 2032 in Prozent</t>
  </si>
  <si>
    <t>Renditeerwartung bis 2032 pro Jahr</t>
  </si>
  <si>
    <t>Quellensteuer GB (25 %)</t>
  </si>
  <si>
    <t>Quellensteuer GBP (25 %)</t>
  </si>
  <si>
    <t xml:space="preserve"> Annahmen für AstraZeneca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</si>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</sst>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8" fillId="2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 wrapText="1"/>
    </xf>
    <xf numFmtId="0" fontId="10" fillId="2" borderId="0" xfId="0" applyFont="1" applyFill="1"/>
    <xf numFmtId="9" fontId="10" fillId="2" borderId="0" xfId="1" applyFont="1" applyFill="1"/>
    <xf numFmtId="0" fontId="0" fillId="4" borderId="0" xfId="0" applyFill="1"/>
    <xf numFmtId="0" fontId="6" fillId="4" borderId="0" xfId="0" applyFont="1" applyFill="1"/>
    <xf numFmtId="0" fontId="5" fillId="4" borderId="0" xfId="0" applyFont="1" applyFill="1"/>
    <xf numFmtId="0" fontId="6" fillId="5" borderId="0" xfId="0" applyFont="1" applyFill="1"/>
    <xf numFmtId="165" fontId="4" fillId="7" borderId="0" xfId="1" applyNumberFormat="1" applyFont="1" applyFill="1"/>
    <xf numFmtId="0" fontId="0" fillId="2" borderId="1" xfId="0" applyFill="1" applyBorder="1" applyAlignment="1">
      <alignment wrapText="1"/>
    </xf>
    <xf numFmtId="0" fontId="9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6" fillId="6" borderId="0" xfId="0" applyFont="1" applyFill="1" applyAlignment="1">
      <alignment horizontal="right"/>
    </xf>
    <xf numFmtId="0" fontId="8" fillId="6" borderId="0" xfId="0" applyFont="1" applyFill="1"/>
    <xf numFmtId="0" fontId="11" fillId="6" borderId="0" xfId="0" applyFont="1" applyFill="1"/>
    <xf numFmtId="4" fontId="6" fillId="6" borderId="0" xfId="0" applyNumberFormat="1" applyFont="1" applyFill="1"/>
    <xf numFmtId="0" fontId="6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2" fillId="2" borderId="0" xfId="0" applyFont="1" applyFill="1"/>
    <xf numFmtId="4" fontId="6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4" fillId="2" borderId="0" xfId="1" applyNumberFormat="1" applyFont="1" applyFill="1" applyBorder="1"/>
    <xf numFmtId="3" fontId="6" fillId="2" borderId="0" xfId="0" applyNumberFormat="1" applyFont="1" applyFill="1"/>
    <xf numFmtId="165" fontId="6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6" fillId="2" borderId="0" xfId="0" applyNumberFormat="1" applyFont="1" applyFill="1"/>
    <xf numFmtId="10" fontId="6" fillId="2" borderId="10" xfId="0" applyNumberFormat="1" applyFont="1" applyFill="1" applyBorder="1"/>
    <xf numFmtId="0" fontId="6" fillId="8" borderId="0" xfId="0" applyFont="1" applyFill="1" applyAlignment="1">
      <alignment vertical="center" wrapText="1"/>
    </xf>
    <xf numFmtId="0" fontId="0" fillId="8" borderId="0" xfId="0" applyFill="1"/>
    <xf numFmtId="4" fontId="10" fillId="8" borderId="0" xfId="0" applyNumberFormat="1" applyFont="1" applyFill="1"/>
    <xf numFmtId="0" fontId="6" fillId="8" borderId="0" xfId="0" applyFont="1" applyFill="1"/>
    <xf numFmtId="1" fontId="4" fillId="8" borderId="0" xfId="1" applyNumberFormat="1" applyFont="1" applyFill="1"/>
    <xf numFmtId="10" fontId="6" fillId="8" borderId="0" xfId="1" applyNumberFormat="1" applyFont="1" applyFill="1"/>
    <xf numFmtId="0" fontId="0" fillId="2" borderId="1" xfId="0" applyFill="1" applyBorder="1"/>
    <xf numFmtId="0" fontId="10" fillId="2" borderId="2" xfId="0" applyFont="1" applyFill="1" applyBorder="1"/>
    <xf numFmtId="2" fontId="8" fillId="2" borderId="2" xfId="0" applyNumberFormat="1" applyFont="1" applyFill="1" applyBorder="1"/>
    <xf numFmtId="2" fontId="8" fillId="2" borderId="3" xfId="0" applyNumberFormat="1" applyFont="1" applyFill="1" applyBorder="1"/>
    <xf numFmtId="0" fontId="11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6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7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6" fillId="2" borderId="0" xfId="1" applyNumberFormat="1" applyFont="1" applyFill="1"/>
    <xf numFmtId="1" fontId="4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4" fillId="8" borderId="0" xfId="1" applyNumberFormat="1" applyFont="1" applyFill="1"/>
    <xf numFmtId="0" fontId="0" fillId="2" borderId="0" xfId="0" quotePrefix="1" applyFill="1"/>
    <xf numFmtId="0" fontId="6" fillId="2" borderId="7" xfId="0" applyFont="1" applyFill="1" applyBorder="1"/>
    <xf numFmtId="10" fontId="6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10" fillId="5" borderId="0" xfId="0" applyNumberFormat="1" applyFont="1" applyFill="1"/>
    <xf numFmtId="164" fontId="11" fillId="6" borderId="0" xfId="0" applyNumberFormat="1" applyFont="1" applyFill="1"/>
    <xf numFmtId="10" fontId="0" fillId="7" borderId="0" xfId="1" applyNumberFormat="1" applyFont="1" applyFill="1"/>
    <xf numFmtId="165" fontId="10" fillId="7" borderId="0" xfId="1" applyNumberFormat="1" applyFont="1" applyFill="1"/>
    <xf numFmtId="9" fontId="10" fillId="5" borderId="0" xfId="1" applyFont="1" applyFill="1"/>
    <xf numFmtId="2" fontId="0" fillId="8" borderId="0" xfId="0" applyNumberFormat="1" applyFill="1"/>
    <xf numFmtId="10" fontId="10" fillId="5" borderId="0" xfId="1" applyNumberFormat="1" applyFont="1" applyFill="1"/>
    <xf numFmtId="165" fontId="10" fillId="5" borderId="0" xfId="1" applyNumberFormat="1" applyFont="1" applyFill="1"/>
    <xf numFmtId="0" fontId="10" fillId="2" borderId="4" xfId="0" applyFont="1" applyFill="1" applyBorder="1"/>
    <xf numFmtId="0" fontId="10" fillId="2" borderId="5" xfId="0" applyFont="1" applyFill="1" applyBorder="1"/>
    <xf numFmtId="10" fontId="10" fillId="2" borderId="5" xfId="0" applyNumberFormat="1" applyFont="1" applyFill="1" applyBorder="1" applyAlignment="1">
      <alignment horizontal="right"/>
    </xf>
    <xf numFmtId="0" fontId="10" fillId="2" borderId="7" xfId="0" applyFont="1" applyFill="1" applyBorder="1"/>
    <xf numFmtId="0" fontId="10" fillId="2" borderId="0" xfId="0" applyFont="1" applyFill="1" applyAlignment="1">
      <alignment horizontal="right"/>
    </xf>
    <xf numFmtId="10" fontId="10" fillId="2" borderId="0" xfId="1" applyNumberFormat="1" applyFont="1" applyFill="1" applyBorder="1" applyAlignment="1">
      <alignment horizontal="right"/>
    </xf>
    <xf numFmtId="10" fontId="10" fillId="2" borderId="0" xfId="0" applyNumberFormat="1" applyFont="1" applyFill="1" applyAlignment="1">
      <alignment horizontal="right"/>
    </xf>
    <xf numFmtId="0" fontId="11" fillId="2" borderId="7" xfId="0" applyFont="1" applyFill="1" applyBorder="1"/>
    <xf numFmtId="0" fontId="11" fillId="2" borderId="0" xfId="0" applyFont="1" applyFill="1"/>
    <xf numFmtId="10" fontId="11" fillId="2" borderId="0" xfId="0" applyNumberFormat="1" applyFont="1" applyFill="1"/>
    <xf numFmtId="9" fontId="10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  <xf numFmtId="10" fontId="0" fillId="2" borderId="7" xfId="0" applyNumberFormat="1" applyFill="1" applyBorder="1"/>
    <xf numFmtId="4" fontId="13" fillId="2" borderId="8" xfId="0" quotePrefix="1" applyNumberFormat="1" applyFont="1" applyFill="1" applyBorder="1"/>
  </cellXfs>
  <cellStyles count="11">
    <cellStyle name="Prozent" xfId="1" builtinId="5"/>
    <cellStyle name="Prozent 2" xfId="2" xr:uid="{00000000-0005-0000-0000-000001000000}"/>
    <cellStyle name="Prozent 3" xfId="4" xr:uid="{00000000-0005-0000-0000-000002000000}"/>
    <cellStyle name="Prozent 3 2" xfId="8" xr:uid="{ACDD9188-69D6-4028-9709-96C6465716DF}"/>
    <cellStyle name="Prozent 4" xfId="6" xr:uid="{DE5E001C-AEE3-45AD-B913-D01465EAAE5D}"/>
    <cellStyle name="Prozent 4 2" xfId="10" xr:uid="{51C2CB77-11E2-4A8F-AF10-1CB4B8601286}"/>
    <cellStyle name="Standard" xfId="0" builtinId="0"/>
    <cellStyle name="Standard 2" xfId="3" xr:uid="{00000000-0005-0000-0000-000004000000}"/>
    <cellStyle name="Standard 2 2" xfId="7" xr:uid="{715999C6-8BDD-464F-A53F-2D0C0610C1C9}"/>
    <cellStyle name="Standard 3" xfId="5" xr:uid="{D21CDE20-7D2B-4947-8C50-96BDB9D63654}"/>
    <cellStyle name="Standard 3 2" xfId="9" xr:uid="{5011BA1F-B6E3-4681-B716-D0C9CC684563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7A5F"/>
      <color rgb="FFCC99FF"/>
      <color rgb="FFFFCC99"/>
      <color rgb="FFFFCC66"/>
      <color rgb="FFFFEB7D"/>
      <color rgb="FF009900"/>
      <color rgb="FFCCCCFF"/>
      <color rgb="FF9966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15507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D6B0C2-47F7-4639-9157-E9F95B4B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abSelected="1" topLeftCell="A58" zoomScaleNormal="100" workbookViewId="0">
      <selection activeCell="F68" sqref="F68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17" width="16.25" style="1" customWidth="1"/>
    <col min="18" max="18" width="10.58203125" style="1" customWidth="1"/>
    <col min="19" max="16384" width="10.58203125" style="1"/>
  </cols>
  <sheetData>
    <row r="2" spans="1:28" ht="26" x14ac:dyDescent="0.6">
      <c r="B2" s="31" t="s">
        <v>10</v>
      </c>
    </row>
    <row r="4" spans="1:28" x14ac:dyDescent="0.35">
      <c r="B4" s="22" t="s">
        <v>48</v>
      </c>
    </row>
    <row r="6" spans="1:28" x14ac:dyDescent="0.35">
      <c r="B6" s="1" t="s">
        <v>33</v>
      </c>
    </row>
    <row r="9" spans="1:28" s="8" customFormat="1" x14ac:dyDescent="0.3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35">
      <c r="A11" s="5"/>
      <c r="B11" s="4" t="s">
        <v>4</v>
      </c>
      <c r="C11" s="82">
        <v>24384</v>
      </c>
      <c r="D11" s="82">
        <v>26617</v>
      </c>
      <c r="E11" s="82">
        <v>37417</v>
      </c>
      <c r="F11" s="82">
        <v>44351</v>
      </c>
      <c r="G11" s="72">
        <v>45715</v>
      </c>
      <c r="H11" s="72">
        <v>50472</v>
      </c>
      <c r="I11" s="72">
        <v>54262</v>
      </c>
      <c r="J11" s="72">
        <v>57331.6</v>
      </c>
      <c r="K11" s="72">
        <f>J11*(1+K12)</f>
        <v>59911.521999999997</v>
      </c>
      <c r="L11" s="72">
        <f t="shared" ref="L11:Q11" si="0">K11*(1+L12)</f>
        <v>62307.982879999996</v>
      </c>
      <c r="M11" s="72">
        <f t="shared" si="0"/>
        <v>64800.302195199998</v>
      </c>
      <c r="N11" s="72">
        <f t="shared" si="0"/>
        <v>67068.31277203199</v>
      </c>
      <c r="O11" s="72">
        <f t="shared" si="0"/>
        <v>69080.362155192954</v>
      </c>
      <c r="P11" s="72">
        <f t="shared" si="0"/>
        <v>70461.969398296817</v>
      </c>
      <c r="Q11" s="72">
        <f t="shared" si="0"/>
        <v>71518.898939271268</v>
      </c>
    </row>
    <row r="12" spans="1:28" x14ac:dyDescent="0.35">
      <c r="A12" s="5"/>
      <c r="B12" s="4" t="s">
        <v>1</v>
      </c>
      <c r="C12" s="86"/>
      <c r="D12" s="89">
        <f t="shared" ref="D12:J12" si="1">D11/C11-1</f>
        <v>9.1576443569553856E-2</v>
      </c>
      <c r="E12" s="89">
        <f t="shared" si="1"/>
        <v>0.40575572002855309</v>
      </c>
      <c r="F12" s="89">
        <f t="shared" si="1"/>
        <v>0.18531683459390114</v>
      </c>
      <c r="G12" s="85">
        <f t="shared" si="1"/>
        <v>3.0754661676174244E-2</v>
      </c>
      <c r="H12" s="85">
        <f t="shared" si="1"/>
        <v>0.1040577490976704</v>
      </c>
      <c r="I12" s="85">
        <f t="shared" si="1"/>
        <v>7.509113964178149E-2</v>
      </c>
      <c r="J12" s="85">
        <f t="shared" si="1"/>
        <v>5.6569975305001741E-2</v>
      </c>
      <c r="K12" s="71">
        <v>4.4999999999999998E-2</v>
      </c>
      <c r="L12" s="71">
        <v>0.04</v>
      </c>
      <c r="M12" s="71">
        <v>0.04</v>
      </c>
      <c r="N12" s="71">
        <v>3.5000000000000003E-2</v>
      </c>
      <c r="O12" s="71">
        <v>0.03</v>
      </c>
      <c r="P12" s="71">
        <v>0.02</v>
      </c>
      <c r="Q12" s="12">
        <v>1.4999999999999999E-2</v>
      </c>
    </row>
    <row r="13" spans="1:28" ht="16" customHeight="1" x14ac:dyDescent="0.35">
      <c r="A13" s="5"/>
      <c r="B13" s="4" t="s">
        <v>15</v>
      </c>
      <c r="C13" s="88">
        <v>0.11509999999999999</v>
      </c>
      <c r="D13" s="88">
        <v>0.16980000000000001</v>
      </c>
      <c r="E13" s="88">
        <v>7.5700000000000003E-2</v>
      </c>
      <c r="F13" s="88">
        <v>0.11409999999999999</v>
      </c>
      <c r="G13" s="84">
        <v>0.33910000000000001</v>
      </c>
      <c r="H13" s="84">
        <v>0.3483</v>
      </c>
      <c r="I13" s="84">
        <v>0.3674</v>
      </c>
      <c r="J13" s="84">
        <v>0.3785</v>
      </c>
      <c r="K13" s="84">
        <v>0.37</v>
      </c>
      <c r="L13" s="84">
        <v>0.36499999999999999</v>
      </c>
      <c r="M13" s="84">
        <v>0.36</v>
      </c>
      <c r="N13" s="84">
        <v>0.36</v>
      </c>
      <c r="O13" s="84">
        <v>0.36</v>
      </c>
      <c r="P13" s="84">
        <v>0.36</v>
      </c>
      <c r="Q13" s="84">
        <v>0.36</v>
      </c>
    </row>
    <row r="14" spans="1:28" ht="17.149999999999999" customHeight="1" x14ac:dyDescent="0.35">
      <c r="A14" s="5"/>
      <c r="B14" s="4" t="s">
        <v>16</v>
      </c>
      <c r="C14" s="82">
        <f>C11*C13</f>
        <v>2806.5983999999999</v>
      </c>
      <c r="D14" s="82">
        <f t="shared" ref="D14:I14" si="2">D11*D13</f>
        <v>4519.5666000000001</v>
      </c>
      <c r="E14" s="82">
        <f t="shared" si="2"/>
        <v>2832.4669000000004</v>
      </c>
      <c r="F14" s="82">
        <f t="shared" si="2"/>
        <v>5060.4490999999998</v>
      </c>
      <c r="G14" s="72">
        <f t="shared" si="2"/>
        <v>15501.9565</v>
      </c>
      <c r="H14" s="72">
        <f t="shared" si="2"/>
        <v>17579.3976</v>
      </c>
      <c r="I14" s="72">
        <f t="shared" si="2"/>
        <v>19935.858800000002</v>
      </c>
      <c r="J14" s="72">
        <f>J11*J13</f>
        <v>21700.010600000001</v>
      </c>
      <c r="K14" s="72">
        <f t="shared" ref="K14:Q14" si="3">K11*K13</f>
        <v>22167.263139999999</v>
      </c>
      <c r="L14" s="72">
        <f t="shared" si="3"/>
        <v>22742.413751199998</v>
      </c>
      <c r="M14" s="72">
        <f t="shared" si="3"/>
        <v>23328.108790271999</v>
      </c>
      <c r="N14" s="72">
        <f t="shared" si="3"/>
        <v>24144.592597931514</v>
      </c>
      <c r="O14" s="72">
        <f t="shared" si="3"/>
        <v>24868.930375869462</v>
      </c>
      <c r="P14" s="72">
        <f>P11*P13</f>
        <v>25366.308983386854</v>
      </c>
      <c r="Q14" s="72">
        <f t="shared" si="3"/>
        <v>25746.803618137656</v>
      </c>
    </row>
    <row r="15" spans="1:28" x14ac:dyDescent="0.35">
      <c r="A15" s="100">
        <v>0.25</v>
      </c>
      <c r="B15" s="4" t="s">
        <v>39</v>
      </c>
      <c r="C15" s="82">
        <v>1333.8047999999999</v>
      </c>
      <c r="D15" s="82">
        <v>3082.2485999999999</v>
      </c>
      <c r="E15" s="82">
        <v>112.251</v>
      </c>
      <c r="F15" s="82">
        <v>3286.4090999999999</v>
      </c>
      <c r="G15" s="72">
        <v>11712.182999999999</v>
      </c>
      <c r="H15" s="72">
        <v>13536.590399999999</v>
      </c>
      <c r="I15" s="72">
        <v>15399.5556</v>
      </c>
      <c r="J15" s="72">
        <v>16522.967120000001</v>
      </c>
      <c r="K15" s="72">
        <f>K14*(1-$A$15)</f>
        <v>16625.447355</v>
      </c>
      <c r="L15" s="72">
        <f t="shared" ref="L15:Q15" si="4">L14*(1-$A$15)</f>
        <v>17056.810313399998</v>
      </c>
      <c r="M15" s="72">
        <f t="shared" si="4"/>
        <v>17496.081592703998</v>
      </c>
      <c r="N15" s="72">
        <f t="shared" si="4"/>
        <v>18108.444448448638</v>
      </c>
      <c r="O15" s="72">
        <f t="shared" si="4"/>
        <v>18651.697781902098</v>
      </c>
      <c r="P15" s="72">
        <f>P14*(1-$A$15)</f>
        <v>19024.73173754014</v>
      </c>
      <c r="Q15" s="72">
        <f t="shared" si="4"/>
        <v>19310.102713603243</v>
      </c>
    </row>
    <row r="16" spans="1:28" ht="31.5" hidden="1" thickBot="1" x14ac:dyDescent="0.4">
      <c r="A16" s="13" t="s">
        <v>6</v>
      </c>
      <c r="B16" s="14"/>
      <c r="C16" s="15">
        <f t="shared" ref="C16:J16" si="5">C15/C14</f>
        <v>0.47523892267593393</v>
      </c>
      <c r="D16" s="15">
        <f t="shared" si="5"/>
        <v>0.6819787985865724</v>
      </c>
      <c r="E16" s="15">
        <f t="shared" si="5"/>
        <v>3.9630118890356669E-2</v>
      </c>
      <c r="F16" s="15">
        <f t="shared" si="5"/>
        <v>0.64943032427695002</v>
      </c>
      <c r="G16" s="15">
        <f t="shared" si="5"/>
        <v>0.75552934237687985</v>
      </c>
      <c r="H16" s="15">
        <f t="shared" si="5"/>
        <v>0.77002583979328154</v>
      </c>
      <c r="I16" s="15">
        <f t="shared" si="5"/>
        <v>0.77245508982035915</v>
      </c>
      <c r="J16" s="15">
        <f t="shared" si="5"/>
        <v>0.76142668428005289</v>
      </c>
    </row>
    <row r="17" spans="1:18" x14ac:dyDescent="0.35">
      <c r="A17" s="2" t="s">
        <v>36</v>
      </c>
      <c r="C17" s="82"/>
      <c r="D17" s="82"/>
      <c r="E17" s="82"/>
      <c r="F17" s="82"/>
      <c r="G17" s="72">
        <f>G15/G18</f>
        <v>7.5078096153846152</v>
      </c>
      <c r="H17" s="72">
        <f t="shared" ref="H17:P17" si="6">H15/H18</f>
        <v>8.6773015384615384</v>
      </c>
      <c r="I17" s="72">
        <f t="shared" si="6"/>
        <v>9.8715100000000007</v>
      </c>
      <c r="J17" s="72">
        <f t="shared" si="6"/>
        <v>10.591645589743591</v>
      </c>
      <c r="K17" s="72">
        <f t="shared" si="6"/>
        <v>10.657338048076923</v>
      </c>
      <c r="L17" s="72">
        <f t="shared" si="6"/>
        <v>10.933852764999999</v>
      </c>
      <c r="M17" s="72">
        <f t="shared" si="6"/>
        <v>11.215436918399998</v>
      </c>
      <c r="N17" s="72">
        <f t="shared" si="6"/>
        <v>11.607977210543998</v>
      </c>
      <c r="O17" s="72">
        <f t="shared" si="6"/>
        <v>11.956216526860318</v>
      </c>
      <c r="P17" s="72">
        <f t="shared" si="6"/>
        <v>12.195340857397525</v>
      </c>
      <c r="Q17" s="72"/>
    </row>
    <row r="18" spans="1:18" ht="31.5" thickBot="1" x14ac:dyDescent="0.4">
      <c r="A18" s="2" t="s">
        <v>38</v>
      </c>
      <c r="C18" s="82"/>
      <c r="D18" s="82"/>
      <c r="E18" s="82"/>
      <c r="F18" s="82"/>
      <c r="G18" s="72">
        <f>C50</f>
        <v>1560</v>
      </c>
      <c r="H18" s="72">
        <f>G18*1</f>
        <v>1560</v>
      </c>
      <c r="I18" s="72">
        <f t="shared" ref="I18:P18" si="7">H18*1</f>
        <v>1560</v>
      </c>
      <c r="J18" s="72">
        <f t="shared" si="7"/>
        <v>1560</v>
      </c>
      <c r="K18" s="72">
        <f t="shared" si="7"/>
        <v>1560</v>
      </c>
      <c r="L18" s="72">
        <f t="shared" si="7"/>
        <v>1560</v>
      </c>
      <c r="M18" s="72">
        <f t="shared" si="7"/>
        <v>1560</v>
      </c>
      <c r="N18" s="72">
        <f t="shared" si="7"/>
        <v>1560</v>
      </c>
      <c r="O18" s="72">
        <f t="shared" si="7"/>
        <v>1560</v>
      </c>
      <c r="P18" s="72">
        <f t="shared" si="7"/>
        <v>1560</v>
      </c>
      <c r="Q18" s="72"/>
    </row>
    <row r="19" spans="1:18" ht="16" thickBot="1" x14ac:dyDescent="0.4">
      <c r="A19" s="2"/>
      <c r="E19" s="51" t="s">
        <v>12</v>
      </c>
      <c r="F19" s="52"/>
      <c r="G19" s="53">
        <f>G15/(1+$C$55)</f>
        <v>10686.298357664233</v>
      </c>
      <c r="H19" s="53">
        <f>H15/(1+$C$55)^2</f>
        <v>11269.072673024664</v>
      </c>
      <c r="I19" s="53">
        <f>I15/(1+$C$55)^3</f>
        <v>11697.054831153091</v>
      </c>
      <c r="J19" s="53">
        <f>J15/(1+$C$55)^4</f>
        <v>11451.063475118399</v>
      </c>
      <c r="K19" s="53">
        <f>K15/(1+$C$55)^5</f>
        <v>10512.85245663651</v>
      </c>
      <c r="L19" s="53">
        <f>L15/(1+$C$55)^6</f>
        <v>9840.8926626041102</v>
      </c>
      <c r="M19" s="53">
        <f>M15/(1+$C$55)^7</f>
        <v>9210.1545167457716</v>
      </c>
      <c r="N19" s="53">
        <f>N15/(1+$C$55)^8</f>
        <v>8697.5455518538965</v>
      </c>
      <c r="O19" s="53">
        <f>O15/(1+$C$55)^9</f>
        <v>8173.7882467240088</v>
      </c>
      <c r="P19" s="53">
        <f>P15/(1+$C$55)^10</f>
        <v>7606.9927113672338</v>
      </c>
      <c r="Q19" s="54">
        <f>(Q15/(C55-Q12))/(1+C55)^10</f>
        <v>95322.192617749883</v>
      </c>
    </row>
    <row r="20" spans="1:18" x14ac:dyDescent="0.35">
      <c r="A20" s="2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6"/>
      <c r="P20" s="3"/>
      <c r="Q20" s="3"/>
      <c r="R20" s="3"/>
    </row>
    <row r="21" spans="1:18" x14ac:dyDescent="0.3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" thickBot="1" x14ac:dyDescent="0.4">
      <c r="P22" s="3"/>
      <c r="Q22" s="3"/>
      <c r="R22" s="3"/>
    </row>
    <row r="23" spans="1:18" x14ac:dyDescent="0.35">
      <c r="A23" s="32" t="s">
        <v>24</v>
      </c>
      <c r="B23" s="33"/>
      <c r="C23" s="33"/>
      <c r="D23" s="34"/>
      <c r="E23" s="23"/>
      <c r="F23" s="33"/>
      <c r="G23" s="90" t="s">
        <v>25</v>
      </c>
      <c r="H23" s="91"/>
      <c r="I23" s="92">
        <v>3.7499999999999999E-2</v>
      </c>
      <c r="J23" s="24" t="s">
        <v>26</v>
      </c>
    </row>
    <row r="24" spans="1:18" x14ac:dyDescent="0.35">
      <c r="A24" s="35"/>
      <c r="B24" s="36"/>
      <c r="C24" s="36"/>
      <c r="D24" s="37"/>
      <c r="E24" s="36"/>
      <c r="F24" s="36"/>
      <c r="G24" s="93"/>
      <c r="H24" s="6"/>
      <c r="I24" s="94"/>
      <c r="J24" s="26"/>
    </row>
    <row r="25" spans="1:18" x14ac:dyDescent="0.35">
      <c r="A25" s="35"/>
      <c r="B25" s="36"/>
      <c r="C25" s="36"/>
      <c r="D25" s="38"/>
      <c r="F25" s="36"/>
      <c r="G25" s="93" t="s">
        <v>27</v>
      </c>
      <c r="H25" s="6"/>
      <c r="I25" s="95">
        <f>(I27-I23)*I29</f>
        <v>5.8500000000000017E-2</v>
      </c>
      <c r="J25" s="26"/>
    </row>
    <row r="26" spans="1:18" x14ac:dyDescent="0.35">
      <c r="A26" s="35"/>
      <c r="B26" s="36"/>
      <c r="C26" s="36"/>
      <c r="D26" s="38"/>
      <c r="F26" s="36"/>
      <c r="G26" s="93"/>
      <c r="H26" s="6"/>
      <c r="I26" s="94"/>
      <c r="J26" s="26"/>
    </row>
    <row r="27" spans="1:18" x14ac:dyDescent="0.35">
      <c r="A27" s="35"/>
      <c r="B27" s="36"/>
      <c r="C27" s="36"/>
      <c r="D27" s="38"/>
      <c r="F27" s="36"/>
      <c r="G27" s="93" t="s">
        <v>28</v>
      </c>
      <c r="H27" s="6"/>
      <c r="I27" s="96">
        <v>7.0000000000000007E-2</v>
      </c>
      <c r="J27" s="26" t="s">
        <v>29</v>
      </c>
    </row>
    <row r="28" spans="1:18" x14ac:dyDescent="0.35">
      <c r="A28" s="35"/>
      <c r="B28" s="36"/>
      <c r="C28" s="36"/>
      <c r="D28" s="39"/>
      <c r="F28" s="36"/>
      <c r="G28" s="93"/>
      <c r="H28" s="6"/>
      <c r="I28" s="94"/>
      <c r="J28" s="26"/>
    </row>
    <row r="29" spans="1:18" x14ac:dyDescent="0.35">
      <c r="A29" s="35"/>
      <c r="B29" s="36"/>
      <c r="C29" s="36"/>
      <c r="D29" s="39"/>
      <c r="F29" s="36"/>
      <c r="G29" s="93" t="s">
        <v>35</v>
      </c>
      <c r="H29" s="6"/>
      <c r="I29" s="79">
        <v>1.8</v>
      </c>
      <c r="J29" s="26" t="s">
        <v>30</v>
      </c>
    </row>
    <row r="30" spans="1:18" x14ac:dyDescent="0.35">
      <c r="A30" s="35"/>
      <c r="B30" s="36"/>
      <c r="C30" s="36"/>
      <c r="D30" s="40"/>
      <c r="F30" s="36"/>
      <c r="G30" s="93"/>
      <c r="H30" s="6"/>
      <c r="I30" s="94"/>
      <c r="J30" s="26"/>
    </row>
    <row r="31" spans="1:18" x14ac:dyDescent="0.35">
      <c r="A31" s="35"/>
      <c r="B31" s="36"/>
      <c r="C31" s="36"/>
      <c r="D31" s="37"/>
      <c r="F31" s="36"/>
      <c r="G31" s="93" t="s">
        <v>31</v>
      </c>
      <c r="H31" s="6"/>
      <c r="I31" s="96">
        <f>I23+(I27-I23)*I29</f>
        <v>9.6000000000000016E-2</v>
      </c>
      <c r="J31" s="26" t="s">
        <v>32</v>
      </c>
    </row>
    <row r="32" spans="1:18" x14ac:dyDescent="0.35">
      <c r="A32" s="25"/>
      <c r="C32" s="41"/>
      <c r="E32" s="36"/>
      <c r="F32" s="36"/>
      <c r="G32" s="93"/>
      <c r="H32" s="6"/>
      <c r="I32" s="6"/>
      <c r="J32" s="26"/>
    </row>
    <row r="33" spans="1:10" x14ac:dyDescent="0.35">
      <c r="A33" s="25"/>
      <c r="G33" s="97" t="s">
        <v>34</v>
      </c>
      <c r="H33" s="98"/>
      <c r="I33" s="99">
        <f>I31</f>
        <v>9.6000000000000016E-2</v>
      </c>
      <c r="J33" s="26"/>
    </row>
    <row r="34" spans="1:10" x14ac:dyDescent="0.35">
      <c r="A34" s="35" t="s">
        <v>7</v>
      </c>
      <c r="B34" s="36"/>
      <c r="C34" s="42"/>
      <c r="D34" s="27"/>
      <c r="G34" s="93"/>
      <c r="H34" s="6"/>
      <c r="I34" s="6"/>
      <c r="J34" s="26"/>
    </row>
    <row r="35" spans="1:10" ht="15.75" hidden="1" customHeight="1" x14ac:dyDescent="0.35">
      <c r="A35" s="25"/>
      <c r="G35" s="25"/>
      <c r="J35" s="26"/>
    </row>
    <row r="36" spans="1:10" ht="15.75" hidden="1" customHeight="1" x14ac:dyDescent="0.3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35">
      <c r="A37" s="25"/>
      <c r="G37" s="25"/>
      <c r="J37" s="26"/>
    </row>
    <row r="38" spans="1:10" ht="15.75" hidden="1" customHeight="1" x14ac:dyDescent="0.35">
      <c r="A38" s="25"/>
      <c r="G38" s="25"/>
      <c r="J38" s="26"/>
    </row>
    <row r="39" spans="1:10" ht="15.75" hidden="1" customHeight="1" x14ac:dyDescent="0.35">
      <c r="A39" s="25"/>
      <c r="G39" s="25"/>
      <c r="J39" s="26"/>
    </row>
    <row r="40" spans="1:10" hidden="1" x14ac:dyDescent="0.3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3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3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3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3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35">
      <c r="A45" s="25"/>
      <c r="G45" s="25"/>
      <c r="J45" s="26"/>
    </row>
    <row r="46" spans="1:10" ht="16" thickBot="1" x14ac:dyDescent="0.4">
      <c r="A46" s="28"/>
      <c r="B46" s="29" t="s">
        <v>20</v>
      </c>
      <c r="C46" s="29"/>
      <c r="D46" s="44">
        <f>I33</f>
        <v>9.6000000000000016E-2</v>
      </c>
      <c r="E46" s="29"/>
      <c r="F46" s="29"/>
      <c r="G46" s="28"/>
      <c r="H46" s="29"/>
      <c r="I46" s="29"/>
      <c r="J46" s="30"/>
    </row>
    <row r="48" spans="1:10" x14ac:dyDescent="0.35">
      <c r="A48" s="16"/>
      <c r="B48" s="17"/>
      <c r="C48" s="83">
        <v>45143</v>
      </c>
      <c r="D48" s="18" t="s">
        <v>3</v>
      </c>
      <c r="E48" s="19"/>
      <c r="F48" s="20"/>
      <c r="G48" s="21"/>
      <c r="H48" s="21"/>
      <c r="I48" s="21"/>
    </row>
    <row r="49" spans="1:17" x14ac:dyDescent="0.35">
      <c r="A49" s="45" t="s">
        <v>0</v>
      </c>
      <c r="B49" s="46" t="s">
        <v>5</v>
      </c>
      <c r="C49" s="56">
        <f>C50*C51</f>
        <v>216278.39999999997</v>
      </c>
      <c r="D49" s="47">
        <f>SUM(G19:Q19)</f>
        <v>194467.9081006418</v>
      </c>
      <c r="E49" s="46" t="s">
        <v>49</v>
      </c>
    </row>
    <row r="50" spans="1:17" x14ac:dyDescent="0.35">
      <c r="A50" s="45"/>
      <c r="B50" s="46" t="s">
        <v>11</v>
      </c>
      <c r="C50" s="56">
        <v>1560</v>
      </c>
      <c r="D50" s="56">
        <f>C50</f>
        <v>1560</v>
      </c>
      <c r="E50" s="46"/>
    </row>
    <row r="51" spans="1:17" x14ac:dyDescent="0.35">
      <c r="A51" s="45"/>
      <c r="B51" s="46" t="s">
        <v>13</v>
      </c>
      <c r="C51" s="87">
        <v>138.63999999999999</v>
      </c>
      <c r="D51" s="56">
        <f>D49/(D50)</f>
        <v>124.65891544912935</v>
      </c>
      <c r="E51" s="46" t="s">
        <v>49</v>
      </c>
    </row>
    <row r="52" spans="1:17" x14ac:dyDescent="0.3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35">
      <c r="A53" s="45"/>
      <c r="B53" s="46" t="s">
        <v>14</v>
      </c>
      <c r="C53" s="46"/>
      <c r="D53" s="58">
        <f>IF(C51/D51-1&lt;0,0,C51/D51-1)</f>
        <v>0.11215471031894242</v>
      </c>
      <c r="E53" s="46"/>
    </row>
    <row r="54" spans="1:17" x14ac:dyDescent="0.35">
      <c r="A54" s="46"/>
      <c r="B54" s="46"/>
      <c r="C54" s="46"/>
      <c r="D54" s="48"/>
      <c r="E54" s="48"/>
    </row>
    <row r="55" spans="1:17" x14ac:dyDescent="0.35">
      <c r="A55" s="48" t="s">
        <v>19</v>
      </c>
      <c r="B55" s="46"/>
      <c r="C55" s="50">
        <f>D46</f>
        <v>9.6000000000000016E-2</v>
      </c>
      <c r="D55" s="49"/>
      <c r="E55" s="46"/>
      <c r="J55" s="70"/>
    </row>
    <row r="56" spans="1:17" x14ac:dyDescent="0.35">
      <c r="A56" s="48"/>
      <c r="B56" s="46"/>
      <c r="C56" s="50"/>
      <c r="D56" s="49"/>
      <c r="E56" s="46"/>
    </row>
    <row r="57" spans="1:17" hidden="1" x14ac:dyDescent="0.35">
      <c r="A57" s="48" t="s">
        <v>22</v>
      </c>
      <c r="B57" s="73">
        <v>0.108</v>
      </c>
      <c r="C57" s="50"/>
      <c r="D57" s="74">
        <f>SUM(H57:Q57)*1000</f>
        <v>161428779.70461401</v>
      </c>
      <c r="E57" s="46"/>
      <c r="F57" s="1" t="s">
        <v>23</v>
      </c>
      <c r="H57" s="1">
        <f>G15/(1+$B$57)</f>
        <v>10570.562274368229</v>
      </c>
      <c r="I57" s="1">
        <f>H15/(1+$B$57)^2</f>
        <v>11026.299052509477</v>
      </c>
      <c r="J57" s="1">
        <f>I15/(1+$B$57)^3</f>
        <v>11321.107309880008</v>
      </c>
      <c r="K57" s="1">
        <f>J15/(1+$B$57)^4</f>
        <v>10962.98947246313</v>
      </c>
      <c r="L57" s="1">
        <f>K15/(1+$B$57)^5</f>
        <v>9955.7627376129622</v>
      </c>
      <c r="M57" s="1">
        <f>L15/(1+$B$57)^6</f>
        <v>9218.4787179185259</v>
      </c>
      <c r="N57" s="1">
        <f>M15/(1+$B$57)^7</f>
        <v>8534.1932446187038</v>
      </c>
      <c r="O57" s="1">
        <f>N15/(1+$B$57)^8</f>
        <v>7971.9223900544721</v>
      </c>
      <c r="P57" s="1">
        <f>O15/(1+$B$57)^9</f>
        <v>7410.7220773972076</v>
      </c>
      <c r="Q57" s="1">
        <f>(Q15/(B57-Q12))/(1+B57)^10</f>
        <v>74456.742427791323</v>
      </c>
    </row>
    <row r="58" spans="1:17" ht="16" thickBot="1" x14ac:dyDescent="0.4">
      <c r="A58" s="22"/>
      <c r="C58" s="65"/>
      <c r="D58" s="66"/>
    </row>
    <row r="59" spans="1:17" x14ac:dyDescent="0.35">
      <c r="A59" s="59" t="s">
        <v>42</v>
      </c>
      <c r="B59" s="23"/>
      <c r="C59" s="67">
        <v>12</v>
      </c>
      <c r="D59" s="23"/>
      <c r="E59" s="24"/>
    </row>
    <row r="60" spans="1:17" x14ac:dyDescent="0.35">
      <c r="A60" s="25" t="s">
        <v>21</v>
      </c>
      <c r="C60" s="68"/>
      <c r="E60" s="26"/>
    </row>
    <row r="61" spans="1:17" x14ac:dyDescent="0.35">
      <c r="A61" s="25"/>
      <c r="C61" s="68"/>
      <c r="E61" s="26"/>
    </row>
    <row r="62" spans="1:17" x14ac:dyDescent="0.35">
      <c r="A62" s="25" t="s">
        <v>37</v>
      </c>
      <c r="C62" s="68"/>
      <c r="E62" s="60">
        <f>P17*C59</f>
        <v>146.3440902887703</v>
      </c>
    </row>
    <row r="63" spans="1:17" x14ac:dyDescent="0.35">
      <c r="A63" s="25"/>
      <c r="C63" s="68"/>
      <c r="E63" s="26"/>
    </row>
    <row r="64" spans="1:17" x14ac:dyDescent="0.35">
      <c r="A64" s="25" t="s">
        <v>17</v>
      </c>
      <c r="C64" s="69">
        <v>0.45</v>
      </c>
      <c r="E64" s="26"/>
    </row>
    <row r="65" spans="1:5" x14ac:dyDescent="0.35">
      <c r="A65" s="25"/>
      <c r="E65" s="26"/>
    </row>
    <row r="66" spans="1:5" x14ac:dyDescent="0.35">
      <c r="A66" s="25" t="s">
        <v>18</v>
      </c>
      <c r="E66" s="60">
        <f>SUM(G17:Q17)*C64</f>
        <v>47.346493081440826</v>
      </c>
    </row>
    <row r="67" spans="1:5" x14ac:dyDescent="0.35">
      <c r="A67" s="25"/>
      <c r="E67" s="61"/>
    </row>
    <row r="68" spans="1:5" x14ac:dyDescent="0.35">
      <c r="A68" s="103" t="s">
        <v>46</v>
      </c>
      <c r="E68" s="104">
        <f>(E66*0.25)*-1</f>
        <v>-11.836623270360207</v>
      </c>
    </row>
    <row r="69" spans="1:5" x14ac:dyDescent="0.35">
      <c r="A69" s="25"/>
      <c r="C69" s="41"/>
      <c r="D69" s="41"/>
      <c r="E69" s="62"/>
    </row>
    <row r="70" spans="1:5" x14ac:dyDescent="0.35">
      <c r="A70" s="25" t="s">
        <v>43</v>
      </c>
      <c r="E70" s="60">
        <f>SUM(E62:E68)</f>
        <v>181.85396009985092</v>
      </c>
    </row>
    <row r="71" spans="1:5" x14ac:dyDescent="0.35">
      <c r="A71" s="25"/>
      <c r="E71" s="60"/>
    </row>
    <row r="72" spans="1:5" x14ac:dyDescent="0.35">
      <c r="A72" s="25" t="s">
        <v>44</v>
      </c>
      <c r="E72" s="62">
        <f>E70/C51-1</f>
        <v>0.31169907746574532</v>
      </c>
    </row>
    <row r="73" spans="1:5" x14ac:dyDescent="0.35">
      <c r="A73" s="25"/>
      <c r="E73" s="26"/>
    </row>
    <row r="74" spans="1:5" ht="16" thickBot="1" x14ac:dyDescent="0.4">
      <c r="A74" s="63" t="s">
        <v>45</v>
      </c>
      <c r="B74" s="64"/>
      <c r="C74" s="64"/>
      <c r="D74" s="64"/>
      <c r="E74" s="102">
        <f>(E70/C51)^(1/10)-1</f>
        <v>2.7503763600090769E-2</v>
      </c>
    </row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11" priority="5" percent="1" rank="10"/>
  </conditionalFormatting>
  <conditionalFormatting sqref="K9">
    <cfRule type="top10" dxfId="10" priority="4" percent="1" rank="10"/>
  </conditionalFormatting>
  <conditionalFormatting sqref="L2:L5">
    <cfRule type="top10" dxfId="9" priority="3" percent="1" rank="10"/>
  </conditionalFormatting>
  <conditionalFormatting sqref="L6:L8">
    <cfRule type="top10" dxfId="8" priority="6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opLeftCell="A48" zoomScaleNormal="100" workbookViewId="0">
      <selection activeCell="C51" sqref="C51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17" width="16.25" style="1" customWidth="1"/>
    <col min="18" max="18" width="10.58203125" style="1" customWidth="1"/>
    <col min="19" max="16384" width="10.58203125" style="1"/>
  </cols>
  <sheetData>
    <row r="2" spans="1:28" ht="26" x14ac:dyDescent="0.6">
      <c r="B2" s="31" t="s">
        <v>10</v>
      </c>
    </row>
    <row r="4" spans="1:28" x14ac:dyDescent="0.35">
      <c r="B4" s="22" t="s">
        <v>48</v>
      </c>
    </row>
    <row r="6" spans="1:28" x14ac:dyDescent="0.35">
      <c r="B6" s="1" t="s">
        <v>33</v>
      </c>
    </row>
    <row r="9" spans="1:28" s="8" customFormat="1" x14ac:dyDescent="0.3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35">
      <c r="A11" s="5"/>
      <c r="B11" s="4" t="s">
        <v>4</v>
      </c>
      <c r="C11" s="82">
        <v>24384</v>
      </c>
      <c r="D11" s="82">
        <v>26617</v>
      </c>
      <c r="E11" s="82">
        <v>37417</v>
      </c>
      <c r="F11" s="82">
        <v>44351</v>
      </c>
      <c r="G11" s="72">
        <v>45715</v>
      </c>
      <c r="H11" s="72">
        <v>50472</v>
      </c>
      <c r="I11" s="72">
        <v>54262</v>
      </c>
      <c r="J11" s="72">
        <v>57331.6</v>
      </c>
      <c r="K11" s="72">
        <f>J11*(1+K12)</f>
        <v>60771.495999999999</v>
      </c>
      <c r="L11" s="72">
        <f t="shared" ref="L11:Q11" si="0">K11*(1+L12)</f>
        <v>64113.928279999993</v>
      </c>
      <c r="M11" s="72">
        <f t="shared" si="0"/>
        <v>67319.624693999998</v>
      </c>
      <c r="N11" s="72">
        <f t="shared" si="0"/>
        <v>70012.409681760008</v>
      </c>
      <c r="O11" s="72">
        <f t="shared" si="0"/>
        <v>72462.844020621604</v>
      </c>
      <c r="P11" s="72">
        <f t="shared" si="0"/>
        <v>74636.729341240251</v>
      </c>
      <c r="Q11" s="72">
        <f t="shared" si="0"/>
        <v>76129.463928065059</v>
      </c>
    </row>
    <row r="12" spans="1:28" x14ac:dyDescent="0.35">
      <c r="A12" s="5"/>
      <c r="B12" s="4" t="s">
        <v>1</v>
      </c>
      <c r="C12" s="89"/>
      <c r="D12" s="89">
        <f t="shared" ref="D12:J12" si="1">D11/C11-1</f>
        <v>9.1576443569553856E-2</v>
      </c>
      <c r="E12" s="89">
        <f t="shared" si="1"/>
        <v>0.40575572002855309</v>
      </c>
      <c r="F12" s="89">
        <f t="shared" si="1"/>
        <v>0.18531683459390114</v>
      </c>
      <c r="G12" s="85">
        <f t="shared" si="1"/>
        <v>3.0754661676174244E-2</v>
      </c>
      <c r="H12" s="85">
        <f t="shared" si="1"/>
        <v>0.1040577490976704</v>
      </c>
      <c r="I12" s="85">
        <f t="shared" si="1"/>
        <v>7.509113964178149E-2</v>
      </c>
      <c r="J12" s="85">
        <f t="shared" si="1"/>
        <v>5.6569975305001741E-2</v>
      </c>
      <c r="K12" s="85">
        <v>0.06</v>
      </c>
      <c r="L12" s="71">
        <v>5.5E-2</v>
      </c>
      <c r="M12" s="71">
        <v>0.05</v>
      </c>
      <c r="N12" s="71">
        <v>0.04</v>
      </c>
      <c r="O12" s="71">
        <v>3.5000000000000003E-2</v>
      </c>
      <c r="P12" s="71">
        <v>0.03</v>
      </c>
      <c r="Q12" s="12">
        <v>0.02</v>
      </c>
    </row>
    <row r="13" spans="1:28" ht="16" customHeight="1" x14ac:dyDescent="0.35">
      <c r="A13" s="5"/>
      <c r="B13" s="4" t="s">
        <v>15</v>
      </c>
      <c r="C13" s="88">
        <v>0.11509999999999999</v>
      </c>
      <c r="D13" s="88">
        <v>0.16980000000000001</v>
      </c>
      <c r="E13" s="88">
        <v>7.5700000000000003E-2</v>
      </c>
      <c r="F13" s="88">
        <v>0.11409999999999999</v>
      </c>
      <c r="G13" s="84">
        <v>0.33910000000000001</v>
      </c>
      <c r="H13" s="84">
        <v>0.3483</v>
      </c>
      <c r="I13" s="84">
        <v>0.3674</v>
      </c>
      <c r="J13" s="84">
        <v>0.3785</v>
      </c>
      <c r="K13" s="84">
        <v>0.38</v>
      </c>
      <c r="L13" s="84">
        <v>0.38500000000000001</v>
      </c>
      <c r="M13" s="84">
        <v>0.38500000000000001</v>
      </c>
      <c r="N13" s="84">
        <v>0.39</v>
      </c>
      <c r="O13" s="84">
        <v>0.39500000000000002</v>
      </c>
      <c r="P13" s="84">
        <v>0.4</v>
      </c>
      <c r="Q13" s="84">
        <v>0.4</v>
      </c>
    </row>
    <row r="14" spans="1:28" ht="17.149999999999999" customHeight="1" x14ac:dyDescent="0.35">
      <c r="A14" s="5"/>
      <c r="B14" s="4" t="s">
        <v>16</v>
      </c>
      <c r="C14" s="82">
        <f>C11*C13</f>
        <v>2806.5983999999999</v>
      </c>
      <c r="D14" s="82">
        <f t="shared" ref="D14:J14" si="2">D11*D13</f>
        <v>4519.5666000000001</v>
      </c>
      <c r="E14" s="82">
        <f t="shared" si="2"/>
        <v>2832.4669000000004</v>
      </c>
      <c r="F14" s="82">
        <f t="shared" si="2"/>
        <v>5060.4490999999998</v>
      </c>
      <c r="G14" s="72">
        <f t="shared" si="2"/>
        <v>15501.9565</v>
      </c>
      <c r="H14" s="72">
        <f t="shared" si="2"/>
        <v>17579.3976</v>
      </c>
      <c r="I14" s="72">
        <f t="shared" si="2"/>
        <v>19935.858800000002</v>
      </c>
      <c r="J14" s="72">
        <f t="shared" si="2"/>
        <v>21700.010600000001</v>
      </c>
      <c r="K14" s="72">
        <f t="shared" ref="K14:Q14" si="3">K11*K13</f>
        <v>23093.16848</v>
      </c>
      <c r="L14" s="72">
        <f t="shared" si="3"/>
        <v>24683.862387799996</v>
      </c>
      <c r="M14" s="72">
        <f t="shared" si="3"/>
        <v>25918.055507190002</v>
      </c>
      <c r="N14" s="72">
        <f t="shared" si="3"/>
        <v>27304.839775886405</v>
      </c>
      <c r="O14" s="72">
        <f>O11*O13</f>
        <v>28622.823388145534</v>
      </c>
      <c r="P14" s="72">
        <f t="shared" si="3"/>
        <v>29854.691736496101</v>
      </c>
      <c r="Q14" s="72">
        <f t="shared" si="3"/>
        <v>30451.785571226024</v>
      </c>
    </row>
    <row r="15" spans="1:28" x14ac:dyDescent="0.35">
      <c r="A15" s="100">
        <v>0.2</v>
      </c>
      <c r="B15" s="4" t="s">
        <v>39</v>
      </c>
      <c r="C15" s="82">
        <v>1333.8047999999999</v>
      </c>
      <c r="D15" s="82">
        <v>3082.2485999999999</v>
      </c>
      <c r="E15" s="82">
        <v>112.251</v>
      </c>
      <c r="F15" s="82">
        <v>3286.4090999999999</v>
      </c>
      <c r="G15" s="72">
        <v>11712.182999999999</v>
      </c>
      <c r="H15" s="72">
        <v>13536.590399999999</v>
      </c>
      <c r="I15" s="72">
        <v>15399.5556</v>
      </c>
      <c r="J15" s="72">
        <v>16522.967120000001</v>
      </c>
      <c r="K15" s="72">
        <f t="shared" ref="K15:Q15" si="4">K14*(1-$A$15)</f>
        <v>18474.534783999999</v>
      </c>
      <c r="L15" s="72">
        <f t="shared" si="4"/>
        <v>19747.08991024</v>
      </c>
      <c r="M15" s="72">
        <f t="shared" si="4"/>
        <v>20734.444405752001</v>
      </c>
      <c r="N15" s="72">
        <f t="shared" si="4"/>
        <v>21843.871820709126</v>
      </c>
      <c r="O15" s="72">
        <f>O14*(1-$A$15)</f>
        <v>22898.258710516428</v>
      </c>
      <c r="P15" s="72">
        <f t="shared" si="4"/>
        <v>23883.753389196881</v>
      </c>
      <c r="Q15" s="72">
        <f t="shared" si="4"/>
        <v>24361.428456980822</v>
      </c>
    </row>
    <row r="16" spans="1:28" ht="31.5" hidden="1" thickBot="1" x14ac:dyDescent="0.4">
      <c r="A16" s="13" t="s">
        <v>6</v>
      </c>
      <c r="B16" s="14"/>
      <c r="C16" s="15">
        <f t="shared" ref="C16:J16" si="5">C15/C14</f>
        <v>0.47523892267593393</v>
      </c>
      <c r="D16" s="15">
        <f t="shared" si="5"/>
        <v>0.6819787985865724</v>
      </c>
      <c r="E16" s="15">
        <f t="shared" si="5"/>
        <v>3.9630118890356669E-2</v>
      </c>
      <c r="F16" s="15">
        <f t="shared" si="5"/>
        <v>0.64943032427695002</v>
      </c>
      <c r="G16" s="15">
        <f t="shared" si="5"/>
        <v>0.75552934237687985</v>
      </c>
      <c r="H16" s="15">
        <f t="shared" si="5"/>
        <v>0.77002583979328154</v>
      </c>
      <c r="I16" s="15">
        <f t="shared" si="5"/>
        <v>0.77245508982035915</v>
      </c>
      <c r="J16" s="15">
        <f t="shared" si="5"/>
        <v>0.76142668428005289</v>
      </c>
    </row>
    <row r="17" spans="1:18" x14ac:dyDescent="0.35">
      <c r="A17" s="2" t="s">
        <v>36</v>
      </c>
      <c r="C17" s="82"/>
      <c r="D17" s="82"/>
      <c r="E17" s="82"/>
      <c r="F17" s="82"/>
      <c r="G17" s="72">
        <f>G15/G18</f>
        <v>7.5078096153846152</v>
      </c>
      <c r="H17" s="72">
        <f>H15/H18</f>
        <v>8.6773015384615384</v>
      </c>
      <c r="I17" s="72">
        <f t="shared" ref="I17:O17" si="6">I15/I18</f>
        <v>9.8715100000000007</v>
      </c>
      <c r="J17" s="72">
        <f>J15/J18</f>
        <v>10.591645589743591</v>
      </c>
      <c r="K17" s="72">
        <f t="shared" si="6"/>
        <v>11.842650502564103</v>
      </c>
      <c r="L17" s="72">
        <f t="shared" si="6"/>
        <v>12.658390968102564</v>
      </c>
      <c r="M17" s="72">
        <f t="shared" si="6"/>
        <v>13.291310516507693</v>
      </c>
      <c r="N17" s="72">
        <f t="shared" si="6"/>
        <v>14.002481936352003</v>
      </c>
      <c r="O17" s="72">
        <f t="shared" si="6"/>
        <v>14.678370968279761</v>
      </c>
      <c r="P17" s="72">
        <f>P15/P18</f>
        <v>15.310098326408257</v>
      </c>
      <c r="Q17" s="72"/>
    </row>
    <row r="18" spans="1:18" ht="31.5" thickBot="1" x14ac:dyDescent="0.4">
      <c r="A18" s="2" t="s">
        <v>38</v>
      </c>
      <c r="C18" s="82"/>
      <c r="D18" s="82"/>
      <c r="E18" s="82"/>
      <c r="F18" s="82"/>
      <c r="G18" s="72">
        <f>C50</f>
        <v>1560</v>
      </c>
      <c r="H18" s="72">
        <f>G18*1</f>
        <v>1560</v>
      </c>
      <c r="I18" s="72">
        <f t="shared" ref="I18:P18" si="7">H18*1</f>
        <v>1560</v>
      </c>
      <c r="J18" s="72">
        <f t="shared" si="7"/>
        <v>1560</v>
      </c>
      <c r="K18" s="72">
        <f t="shared" si="7"/>
        <v>1560</v>
      </c>
      <c r="L18" s="72">
        <f t="shared" si="7"/>
        <v>1560</v>
      </c>
      <c r="M18" s="72">
        <f t="shared" si="7"/>
        <v>1560</v>
      </c>
      <c r="N18" s="72">
        <f t="shared" si="7"/>
        <v>1560</v>
      </c>
      <c r="O18" s="72">
        <f t="shared" si="7"/>
        <v>1560</v>
      </c>
      <c r="P18" s="72">
        <f t="shared" si="7"/>
        <v>1560</v>
      </c>
      <c r="Q18" s="72"/>
    </row>
    <row r="19" spans="1:18" ht="16" thickBot="1" x14ac:dyDescent="0.4">
      <c r="A19" s="2"/>
      <c r="E19" s="51" t="s">
        <v>12</v>
      </c>
      <c r="F19" s="52"/>
      <c r="G19" s="53">
        <f>G15/(1+$C$55)</f>
        <v>10686.298357664233</v>
      </c>
      <c r="H19" s="53">
        <f>H15/(1+$C$55)^2</f>
        <v>11269.072673024664</v>
      </c>
      <c r="I19" s="53">
        <f>I15/(1+$C$55)^3</f>
        <v>11697.054831153091</v>
      </c>
      <c r="J19" s="53">
        <f>J15/(1+$C$55)^4</f>
        <v>11451.063475118399</v>
      </c>
      <c r="K19" s="53">
        <f>K15/(1+$C$55)^5</f>
        <v>11682.095178676836</v>
      </c>
      <c r="L19" s="53">
        <f>L15/(1+$C$55)^6</f>
        <v>11393.044105837167</v>
      </c>
      <c r="M19" s="53">
        <f>M15/(1+$C$55)^7</f>
        <v>10914.868897015536</v>
      </c>
      <c r="N19" s="53">
        <f>N15/(1+$C$55)^8</f>
        <v>10491.683630271829</v>
      </c>
      <c r="O19" s="53">
        <f>O15/(1+$C$55)^9</f>
        <v>10034.771102718229</v>
      </c>
      <c r="P19" s="53">
        <f>P15/(1+$C$55)^10</f>
        <v>9549.8607001753426</v>
      </c>
      <c r="Q19" s="54">
        <f>(Q15/(C55-Q12))/(1+C55)^10</f>
        <v>128169.18308130065</v>
      </c>
    </row>
    <row r="20" spans="1:18" x14ac:dyDescent="0.35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3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" thickBot="1" x14ac:dyDescent="0.4">
      <c r="P22" s="3"/>
      <c r="Q22" s="3"/>
      <c r="R22" s="3"/>
    </row>
    <row r="23" spans="1:18" x14ac:dyDescent="0.3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8">
        <v>3.7499999999999999E-2</v>
      </c>
      <c r="J23" s="24" t="s">
        <v>26</v>
      </c>
    </row>
    <row r="24" spans="1:18" x14ac:dyDescent="0.35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35">
      <c r="A25" s="35"/>
      <c r="B25" s="36"/>
      <c r="C25" s="36"/>
      <c r="D25" s="38"/>
      <c r="F25" s="36"/>
      <c r="G25" s="25" t="s">
        <v>27</v>
      </c>
      <c r="I25" s="80">
        <f>(I27-I23)*I29</f>
        <v>5.8500000000000017E-2</v>
      </c>
      <c r="J25" s="26"/>
    </row>
    <row r="26" spans="1:18" x14ac:dyDescent="0.35">
      <c r="A26" s="35"/>
      <c r="B26" s="36"/>
      <c r="C26" s="36"/>
      <c r="D26" s="38"/>
      <c r="F26" s="36"/>
      <c r="G26" s="25"/>
      <c r="I26" s="79"/>
      <c r="J26" s="26"/>
    </row>
    <row r="27" spans="1:18" x14ac:dyDescent="0.35">
      <c r="A27" s="35"/>
      <c r="B27" s="36"/>
      <c r="C27" s="36"/>
      <c r="D27" s="38"/>
      <c r="F27" s="36"/>
      <c r="G27" s="25" t="s">
        <v>28</v>
      </c>
      <c r="I27" s="81">
        <v>7.0000000000000007E-2</v>
      </c>
      <c r="J27" s="26" t="s">
        <v>29</v>
      </c>
    </row>
    <row r="28" spans="1:18" x14ac:dyDescent="0.35">
      <c r="A28" s="35"/>
      <c r="B28" s="36"/>
      <c r="C28" s="36"/>
      <c r="D28" s="39"/>
      <c r="F28" s="36"/>
      <c r="G28" s="25"/>
      <c r="I28" s="79"/>
      <c r="J28" s="26"/>
    </row>
    <row r="29" spans="1:18" x14ac:dyDescent="0.35">
      <c r="A29" s="35"/>
      <c r="B29" s="36"/>
      <c r="C29" s="36"/>
      <c r="D29" s="39"/>
      <c r="F29" s="36"/>
      <c r="G29" s="25" t="s">
        <v>35</v>
      </c>
      <c r="I29" s="79">
        <v>1.8</v>
      </c>
      <c r="J29" s="26" t="s">
        <v>30</v>
      </c>
    </row>
    <row r="30" spans="1:18" x14ac:dyDescent="0.35">
      <c r="A30" s="35"/>
      <c r="B30" s="36"/>
      <c r="C30" s="36"/>
      <c r="D30" s="40"/>
      <c r="F30" s="36"/>
      <c r="G30" s="25"/>
      <c r="I30" s="79"/>
      <c r="J30" s="26"/>
    </row>
    <row r="31" spans="1:18" x14ac:dyDescent="0.35">
      <c r="A31" s="35"/>
      <c r="B31" s="36"/>
      <c r="C31" s="36"/>
      <c r="D31" s="37"/>
      <c r="F31" s="36"/>
      <c r="G31" s="25" t="s">
        <v>31</v>
      </c>
      <c r="I31" s="81">
        <f>I23+(I27-I23)*I29</f>
        <v>9.6000000000000016E-2</v>
      </c>
      <c r="J31" s="26" t="s">
        <v>32</v>
      </c>
    </row>
    <row r="32" spans="1:18" x14ac:dyDescent="0.35">
      <c r="A32" s="25"/>
      <c r="C32" s="41"/>
      <c r="E32" s="36"/>
      <c r="F32" s="36"/>
      <c r="G32" s="25"/>
      <c r="J32" s="26"/>
    </row>
    <row r="33" spans="1:10" x14ac:dyDescent="0.35">
      <c r="A33" s="25"/>
      <c r="G33" s="76" t="s">
        <v>34</v>
      </c>
      <c r="H33" s="22"/>
      <c r="I33" s="77">
        <f>I31</f>
        <v>9.6000000000000016E-2</v>
      </c>
      <c r="J33" s="26"/>
    </row>
    <row r="34" spans="1:10" x14ac:dyDescent="0.3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35">
      <c r="A35" s="25"/>
      <c r="G35" s="25"/>
      <c r="J35" s="26"/>
    </row>
    <row r="36" spans="1:10" ht="15.75" hidden="1" customHeight="1" x14ac:dyDescent="0.3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35">
      <c r="A37" s="25"/>
      <c r="G37" s="25"/>
      <c r="J37" s="26"/>
    </row>
    <row r="38" spans="1:10" ht="15.75" hidden="1" customHeight="1" x14ac:dyDescent="0.35">
      <c r="A38" s="25"/>
      <c r="G38" s="25"/>
      <c r="J38" s="26"/>
    </row>
    <row r="39" spans="1:10" ht="15.75" hidden="1" customHeight="1" x14ac:dyDescent="0.35">
      <c r="A39" s="25"/>
      <c r="G39" s="25"/>
      <c r="J39" s="26"/>
    </row>
    <row r="40" spans="1:10" hidden="1" x14ac:dyDescent="0.3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3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3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3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3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35">
      <c r="A45" s="25"/>
      <c r="G45" s="25"/>
      <c r="J45" s="26"/>
    </row>
    <row r="46" spans="1:10" ht="16" thickBot="1" x14ac:dyDescent="0.4">
      <c r="A46" s="28"/>
      <c r="B46" s="29" t="s">
        <v>20</v>
      </c>
      <c r="C46" s="29"/>
      <c r="D46" s="44">
        <f>I33</f>
        <v>9.6000000000000016E-2</v>
      </c>
      <c r="E46" s="29"/>
      <c r="F46" s="29"/>
      <c r="G46" s="28"/>
      <c r="H46" s="29"/>
      <c r="I46" s="29"/>
      <c r="J46" s="30"/>
    </row>
    <row r="48" spans="1:10" x14ac:dyDescent="0.35">
      <c r="A48" s="16"/>
      <c r="B48" s="17"/>
      <c r="C48" s="83">
        <v>45143</v>
      </c>
      <c r="D48" s="18" t="s">
        <v>3</v>
      </c>
      <c r="E48" s="19"/>
      <c r="F48" s="20"/>
      <c r="G48" s="21"/>
      <c r="H48" s="21"/>
      <c r="I48" s="21"/>
    </row>
    <row r="49" spans="1:17" x14ac:dyDescent="0.35">
      <c r="A49" s="45" t="s">
        <v>0</v>
      </c>
      <c r="B49" s="46" t="s">
        <v>5</v>
      </c>
      <c r="C49" s="56">
        <f>C50*C51</f>
        <v>216278.39999999997</v>
      </c>
      <c r="D49" s="47">
        <f>SUM(G19:Q19)</f>
        <v>237338.99603295597</v>
      </c>
      <c r="E49" s="46" t="s">
        <v>49</v>
      </c>
    </row>
    <row r="50" spans="1:17" x14ac:dyDescent="0.35">
      <c r="A50" s="45"/>
      <c r="B50" s="46" t="s">
        <v>11</v>
      </c>
      <c r="C50" s="56">
        <v>1560</v>
      </c>
      <c r="D50" s="56">
        <f>C50</f>
        <v>1560</v>
      </c>
      <c r="E50" s="46"/>
    </row>
    <row r="51" spans="1:17" x14ac:dyDescent="0.35">
      <c r="A51" s="45"/>
      <c r="B51" s="46" t="s">
        <v>13</v>
      </c>
      <c r="C51" s="87">
        <v>138.63999999999999</v>
      </c>
      <c r="D51" s="56">
        <f>D49/(D50)</f>
        <v>152.14038207240768</v>
      </c>
      <c r="E51" s="46" t="s">
        <v>49</v>
      </c>
    </row>
    <row r="52" spans="1:17" x14ac:dyDescent="0.35">
      <c r="A52" s="45"/>
      <c r="B52" s="46" t="s">
        <v>2</v>
      </c>
      <c r="C52" s="46"/>
      <c r="D52" s="57">
        <f>IF(C51/D51-1&gt;0,0,C51/D51-1)*-1</f>
        <v>8.8736349209261878E-2</v>
      </c>
      <c r="E52" s="46"/>
    </row>
    <row r="53" spans="1:17" x14ac:dyDescent="0.35">
      <c r="A53" s="45"/>
      <c r="B53" s="46" t="s">
        <v>14</v>
      </c>
      <c r="C53" s="46"/>
      <c r="D53" s="58">
        <f>IF(C51/D51-1&lt;0,0,C51/D51-1)</f>
        <v>0</v>
      </c>
      <c r="E53" s="46"/>
    </row>
    <row r="54" spans="1:17" x14ac:dyDescent="0.35">
      <c r="A54" s="46"/>
      <c r="B54" s="46"/>
      <c r="C54" s="46"/>
      <c r="D54" s="48"/>
      <c r="E54" s="48"/>
    </row>
    <row r="55" spans="1:17" x14ac:dyDescent="0.35">
      <c r="A55" s="48" t="s">
        <v>19</v>
      </c>
      <c r="B55" s="46"/>
      <c r="C55" s="50">
        <f>D46</f>
        <v>9.6000000000000016E-2</v>
      </c>
      <c r="D55" s="49"/>
      <c r="E55" s="46"/>
      <c r="J55" s="70"/>
    </row>
    <row r="56" spans="1:17" x14ac:dyDescent="0.35">
      <c r="A56" s="48"/>
      <c r="B56" s="46"/>
      <c r="C56" s="50"/>
      <c r="D56" s="49"/>
      <c r="E56" s="46"/>
    </row>
    <row r="57" spans="1:17" hidden="1" x14ac:dyDescent="0.35">
      <c r="A57" s="48" t="s">
        <v>22</v>
      </c>
      <c r="B57" s="73">
        <v>0.108</v>
      </c>
      <c r="C57" s="50"/>
      <c r="D57" s="74">
        <f>SUM(H57:Q57)*1000</f>
        <v>193715625.71155736</v>
      </c>
      <c r="E57" s="46"/>
      <c r="F57" s="1" t="s">
        <v>23</v>
      </c>
      <c r="H57" s="1">
        <f>G15/(1+$B$57)</f>
        <v>10570.562274368229</v>
      </c>
      <c r="I57" s="1">
        <f>H15/(1+$B$57)^2</f>
        <v>11026.299052509477</v>
      </c>
      <c r="J57" s="1">
        <f>I15/(1+$B$57)^3</f>
        <v>11321.107309880008</v>
      </c>
      <c r="K57" s="1">
        <f>J15/(1+$B$57)^4</f>
        <v>10962.98947246313</v>
      </c>
      <c r="L57" s="1">
        <f>K15/(1+$B$57)^5</f>
        <v>11063.045767725853</v>
      </c>
      <c r="M57" s="1">
        <f>L15/(1+$B$57)^6</f>
        <v>10672.460133730876</v>
      </c>
      <c r="N57" s="1">
        <f>M15/(1+$B$57)^7</f>
        <v>10113.793448030161</v>
      </c>
      <c r="O57" s="1">
        <f>N15/(1+$B$57)^8</f>
        <v>9616.3782233602906</v>
      </c>
      <c r="P57" s="1">
        <f>O15/(1+$B$57)^9</f>
        <v>9097.9723853681153</v>
      </c>
      <c r="Q57" s="1">
        <f>(Q15/(B57-Q12))/(1+B57)^10</f>
        <v>99271.017644121239</v>
      </c>
    </row>
    <row r="58" spans="1:17" ht="16" thickBot="1" x14ac:dyDescent="0.4">
      <c r="A58" s="22"/>
      <c r="C58" s="65"/>
      <c r="D58" s="66"/>
    </row>
    <row r="59" spans="1:17" x14ac:dyDescent="0.35">
      <c r="A59" s="59" t="s">
        <v>42</v>
      </c>
      <c r="B59" s="23"/>
      <c r="C59" s="67">
        <v>24</v>
      </c>
      <c r="D59" s="23"/>
      <c r="E59" s="24"/>
    </row>
    <row r="60" spans="1:17" x14ac:dyDescent="0.35">
      <c r="A60" s="25" t="s">
        <v>21</v>
      </c>
      <c r="C60" s="68" t="s">
        <v>40</v>
      </c>
      <c r="E60" s="26"/>
    </row>
    <row r="61" spans="1:17" x14ac:dyDescent="0.35">
      <c r="A61" s="25"/>
      <c r="C61" s="68"/>
      <c r="E61" s="26"/>
    </row>
    <row r="62" spans="1:17" x14ac:dyDescent="0.35">
      <c r="A62" s="25" t="s">
        <v>37</v>
      </c>
      <c r="C62" s="68"/>
      <c r="E62" s="60">
        <f>P17*C59</f>
        <v>367.44235983379815</v>
      </c>
    </row>
    <row r="63" spans="1:17" x14ac:dyDescent="0.35">
      <c r="A63" s="25"/>
      <c r="C63" s="68"/>
      <c r="E63" s="26"/>
    </row>
    <row r="64" spans="1:17" x14ac:dyDescent="0.35">
      <c r="A64" s="25" t="s">
        <v>17</v>
      </c>
      <c r="C64" s="69">
        <v>0.5</v>
      </c>
      <c r="E64" s="26"/>
    </row>
    <row r="65" spans="1:5" x14ac:dyDescent="0.35">
      <c r="A65" s="25"/>
      <c r="E65" s="26"/>
    </row>
    <row r="66" spans="1:5" x14ac:dyDescent="0.35">
      <c r="A66" s="25" t="s">
        <v>18</v>
      </c>
      <c r="E66" s="60">
        <f>SUM(G17:Q17)*C64</f>
        <v>59.215784980902058</v>
      </c>
    </row>
    <row r="67" spans="1:5" x14ac:dyDescent="0.35">
      <c r="A67" s="25"/>
      <c r="E67" s="61"/>
    </row>
    <row r="68" spans="1:5" x14ac:dyDescent="0.35">
      <c r="A68" s="103" t="s">
        <v>46</v>
      </c>
      <c r="E68" s="104">
        <f>(E66*0.25)*-1</f>
        <v>-14.803946245225514</v>
      </c>
    </row>
    <row r="69" spans="1:5" x14ac:dyDescent="0.35">
      <c r="A69" s="25"/>
      <c r="C69" s="41"/>
      <c r="D69" s="41"/>
      <c r="E69" s="62"/>
    </row>
    <row r="70" spans="1:5" x14ac:dyDescent="0.35">
      <c r="A70" s="25" t="s">
        <v>43</v>
      </c>
      <c r="E70" s="60">
        <f>SUM(E62:E68)</f>
        <v>411.8541985694747</v>
      </c>
    </row>
    <row r="71" spans="1:5" x14ac:dyDescent="0.35">
      <c r="A71" s="25"/>
      <c r="E71" s="60"/>
    </row>
    <row r="72" spans="1:5" x14ac:dyDescent="0.35">
      <c r="A72" s="25" t="s">
        <v>44</v>
      </c>
      <c r="E72" s="62">
        <f>E70/C51-1</f>
        <v>1.9706736769292754</v>
      </c>
    </row>
    <row r="73" spans="1:5" x14ac:dyDescent="0.35">
      <c r="A73" s="25"/>
      <c r="E73" s="26"/>
    </row>
    <row r="74" spans="1:5" ht="16" thickBot="1" x14ac:dyDescent="0.4">
      <c r="A74" s="63" t="s">
        <v>45</v>
      </c>
      <c r="B74" s="64"/>
      <c r="C74" s="64"/>
      <c r="D74" s="64"/>
      <c r="E74" s="102">
        <f>(E70/C51)^(1/10)-1</f>
        <v>0.11502728496601122</v>
      </c>
    </row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7" priority="5" percent="1" rank="10"/>
  </conditionalFormatting>
  <conditionalFormatting sqref="L2:L5">
    <cfRule type="top10" dxfId="6" priority="3" percent="1" rank="10"/>
  </conditionalFormatting>
  <conditionalFormatting sqref="L6:L8">
    <cfRule type="top10" dxfId="5" priority="6" percent="1" rank="10"/>
  </conditionalFormatting>
  <conditionalFormatting sqref="L9">
    <cfRule type="top10" dxfId="4" priority="4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2E19-683E-48EC-9C64-69D5A2053526}">
  <dimension ref="A2:AB74"/>
  <sheetViews>
    <sheetView topLeftCell="A47" zoomScaleNormal="100" workbookViewId="0">
      <selection activeCell="C51" sqref="C51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17" width="16.25" style="1" customWidth="1"/>
    <col min="18" max="18" width="10.58203125" style="1" customWidth="1"/>
    <col min="19" max="16384" width="10.58203125" style="1"/>
  </cols>
  <sheetData>
    <row r="2" spans="1:28" ht="26" x14ac:dyDescent="0.6">
      <c r="B2" s="31" t="s">
        <v>10</v>
      </c>
    </row>
    <row r="4" spans="1:28" x14ac:dyDescent="0.35">
      <c r="B4" s="22" t="s">
        <v>48</v>
      </c>
    </row>
    <row r="6" spans="1:28" x14ac:dyDescent="0.35">
      <c r="B6" s="1" t="s">
        <v>33</v>
      </c>
    </row>
    <row r="9" spans="1:28" s="8" customFormat="1" x14ac:dyDescent="0.3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35">
      <c r="A11" s="5"/>
      <c r="B11" s="4" t="s">
        <v>4</v>
      </c>
      <c r="C11" s="82">
        <v>24384</v>
      </c>
      <c r="D11" s="82">
        <v>26617</v>
      </c>
      <c r="E11" s="82">
        <v>37417</v>
      </c>
      <c r="F11" s="82">
        <v>44351</v>
      </c>
      <c r="G11" s="72">
        <f t="shared" ref="G11:Q11" si="0">F11*(1+G12)</f>
        <v>46346.794999999998</v>
      </c>
      <c r="H11" s="72">
        <f t="shared" si="0"/>
        <v>48432.400774999995</v>
      </c>
      <c r="I11" s="72">
        <f t="shared" si="0"/>
        <v>50611.85880987499</v>
      </c>
      <c r="J11" s="72">
        <f t="shared" si="0"/>
        <v>52889.392456319358</v>
      </c>
      <c r="K11" s="72">
        <f t="shared" si="0"/>
        <v>55269.415116853728</v>
      </c>
      <c r="L11" s="72">
        <f t="shared" si="0"/>
        <v>57756.538797112145</v>
      </c>
      <c r="M11" s="72">
        <f t="shared" si="0"/>
        <v>60355.583042982187</v>
      </c>
      <c r="N11" s="72">
        <f t="shared" si="0"/>
        <v>63071.58427991638</v>
      </c>
      <c r="O11" s="72">
        <f t="shared" si="0"/>
        <v>65909.805572512618</v>
      </c>
      <c r="P11" s="72">
        <f t="shared" si="0"/>
        <v>66568.903628237749</v>
      </c>
      <c r="Q11" s="72">
        <f t="shared" si="0"/>
        <v>67900.281700802501</v>
      </c>
    </row>
    <row r="12" spans="1:28" x14ac:dyDescent="0.35">
      <c r="A12" s="5"/>
      <c r="B12" s="4" t="s">
        <v>1</v>
      </c>
      <c r="C12" s="86"/>
      <c r="D12" s="89">
        <f>D11/C11-1</f>
        <v>9.1576443569553856E-2</v>
      </c>
      <c r="E12" s="89">
        <f>E11/D11-1</f>
        <v>0.40575572002855309</v>
      </c>
      <c r="F12" s="89">
        <f>F11/E11-1</f>
        <v>0.18531683459390114</v>
      </c>
      <c r="G12" s="85">
        <v>4.4999999999999998E-2</v>
      </c>
      <c r="H12" s="85">
        <f t="shared" ref="H12:O12" si="1">G12</f>
        <v>4.4999999999999998E-2</v>
      </c>
      <c r="I12" s="85">
        <f t="shared" si="1"/>
        <v>4.4999999999999998E-2</v>
      </c>
      <c r="J12" s="85">
        <f t="shared" si="1"/>
        <v>4.4999999999999998E-2</v>
      </c>
      <c r="K12" s="85">
        <f t="shared" si="1"/>
        <v>4.4999999999999998E-2</v>
      </c>
      <c r="L12" s="85">
        <f t="shared" si="1"/>
        <v>4.4999999999999998E-2</v>
      </c>
      <c r="M12" s="85">
        <f t="shared" si="1"/>
        <v>4.4999999999999998E-2</v>
      </c>
      <c r="N12" s="85">
        <f t="shared" si="1"/>
        <v>4.4999999999999998E-2</v>
      </c>
      <c r="O12" s="85">
        <f t="shared" si="1"/>
        <v>4.4999999999999998E-2</v>
      </c>
      <c r="P12" s="85">
        <v>0.01</v>
      </c>
      <c r="Q12" s="85">
        <v>0.02</v>
      </c>
    </row>
    <row r="13" spans="1:28" ht="16" customHeight="1" x14ac:dyDescent="0.35">
      <c r="A13" s="5"/>
      <c r="B13" s="4" t="s">
        <v>15</v>
      </c>
      <c r="C13" s="88">
        <v>0.11509999999999999</v>
      </c>
      <c r="D13" s="88">
        <v>0.16980000000000001</v>
      </c>
      <c r="E13" s="88">
        <v>7.5700000000000003E-2</v>
      </c>
      <c r="F13" s="88">
        <v>0.11409999999999999</v>
      </c>
      <c r="G13" s="84">
        <v>0.33910000000000001</v>
      </c>
      <c r="H13" s="84">
        <v>0.3483</v>
      </c>
      <c r="I13" s="84">
        <v>0.3674</v>
      </c>
      <c r="J13" s="84">
        <v>0.3785</v>
      </c>
      <c r="K13" s="84">
        <v>0.38</v>
      </c>
      <c r="L13" s="84">
        <v>0.38500000000000001</v>
      </c>
      <c r="M13" s="84">
        <v>0.38500000000000001</v>
      </c>
      <c r="N13" s="84">
        <v>0.39</v>
      </c>
      <c r="O13" s="84">
        <v>0.39500000000000002</v>
      </c>
      <c r="P13" s="84">
        <v>0.4</v>
      </c>
      <c r="Q13" s="84">
        <v>0.4</v>
      </c>
    </row>
    <row r="14" spans="1:28" ht="17.149999999999999" customHeight="1" x14ac:dyDescent="0.35">
      <c r="A14" s="5"/>
      <c r="B14" s="4" t="s">
        <v>16</v>
      </c>
      <c r="C14" s="82">
        <f>C11*C13</f>
        <v>2806.5983999999999</v>
      </c>
      <c r="D14" s="82">
        <f t="shared" ref="D14:Q14" si="2">D11*D13</f>
        <v>4519.5666000000001</v>
      </c>
      <c r="E14" s="82">
        <f t="shared" si="2"/>
        <v>2832.4669000000004</v>
      </c>
      <c r="F14" s="82">
        <f t="shared" si="2"/>
        <v>5060.4490999999998</v>
      </c>
      <c r="G14" s="72">
        <f t="shared" si="2"/>
        <v>15716.198184499999</v>
      </c>
      <c r="H14" s="72">
        <f t="shared" si="2"/>
        <v>16869.005189932497</v>
      </c>
      <c r="I14" s="72">
        <f t="shared" si="2"/>
        <v>18594.796926748073</v>
      </c>
      <c r="J14" s="72">
        <f t="shared" si="2"/>
        <v>20018.635044716877</v>
      </c>
      <c r="K14" s="72">
        <f t="shared" si="2"/>
        <v>21002.377744404417</v>
      </c>
      <c r="L14" s="72">
        <f t="shared" si="2"/>
        <v>22236.267436888178</v>
      </c>
      <c r="M14" s="72">
        <f t="shared" si="2"/>
        <v>23236.899471548142</v>
      </c>
      <c r="N14" s="72">
        <f t="shared" si="2"/>
        <v>24597.917869167388</v>
      </c>
      <c r="O14" s="72">
        <f>O11*O13</f>
        <v>26034.373201142484</v>
      </c>
      <c r="P14" s="72">
        <f t="shared" si="2"/>
        <v>26627.5614512951</v>
      </c>
      <c r="Q14" s="72">
        <f t="shared" si="2"/>
        <v>27160.112680321003</v>
      </c>
    </row>
    <row r="15" spans="1:28" x14ac:dyDescent="0.35">
      <c r="A15" s="100">
        <v>0.2</v>
      </c>
      <c r="B15" s="4" t="s">
        <v>39</v>
      </c>
      <c r="C15" s="82">
        <v>1333.8047999999999</v>
      </c>
      <c r="D15" s="82">
        <v>3082.2485999999999</v>
      </c>
      <c r="E15" s="82">
        <v>112.251</v>
      </c>
      <c r="F15" s="82">
        <v>3286.4090999999999</v>
      </c>
      <c r="G15" s="72">
        <v>11712.182999999999</v>
      </c>
      <c r="H15" s="72">
        <v>13536.590399999999</v>
      </c>
      <c r="I15" s="72">
        <v>15399.5556</v>
      </c>
      <c r="J15" s="72">
        <v>16522.967120000001</v>
      </c>
      <c r="K15" s="72">
        <f>K14*(1-$A$15)</f>
        <v>16801.902195523533</v>
      </c>
      <c r="L15" s="72">
        <f t="shared" ref="L15:Q15" si="3">L14*(1-$A$15)</f>
        <v>17789.013949510543</v>
      </c>
      <c r="M15" s="72">
        <f t="shared" si="3"/>
        <v>18589.519577238516</v>
      </c>
      <c r="N15" s="72">
        <f t="shared" si="3"/>
        <v>19678.334295333912</v>
      </c>
      <c r="O15" s="72">
        <f>O14*(1-$A$15)</f>
        <v>20827.498560913988</v>
      </c>
      <c r="P15" s="72">
        <f t="shared" si="3"/>
        <v>21302.04916103608</v>
      </c>
      <c r="Q15" s="72">
        <f t="shared" si="3"/>
        <v>21728.090144256803</v>
      </c>
    </row>
    <row r="16" spans="1:28" ht="31.5" hidden="1" thickBot="1" x14ac:dyDescent="0.4">
      <c r="A16" s="13" t="s">
        <v>6</v>
      </c>
      <c r="B16" s="14"/>
      <c r="C16" s="15">
        <f t="shared" ref="C16:J16" si="4">C15/C14</f>
        <v>0.47523892267593393</v>
      </c>
      <c r="D16" s="15">
        <f t="shared" si="4"/>
        <v>0.6819787985865724</v>
      </c>
      <c r="E16" s="15">
        <f t="shared" si="4"/>
        <v>3.9630118890356669E-2</v>
      </c>
      <c r="F16" s="15">
        <f t="shared" si="4"/>
        <v>0.64943032427695002</v>
      </c>
      <c r="G16" s="15">
        <f t="shared" si="4"/>
        <v>0.7452300398929218</v>
      </c>
      <c r="H16" s="15">
        <f t="shared" si="4"/>
        <v>0.80245338996508819</v>
      </c>
      <c r="I16" s="15">
        <f t="shared" si="4"/>
        <v>0.82816476354459068</v>
      </c>
      <c r="J16" s="15">
        <f t="shared" si="4"/>
        <v>0.82537930698529727</v>
      </c>
    </row>
    <row r="17" spans="1:18" x14ac:dyDescent="0.35">
      <c r="A17" s="2" t="s">
        <v>36</v>
      </c>
      <c r="C17" s="82"/>
      <c r="D17" s="82"/>
      <c r="E17" s="82"/>
      <c r="F17" s="82"/>
      <c r="G17" s="72">
        <f>G15/G18</f>
        <v>7.5078096153846152</v>
      </c>
      <c r="H17" s="72">
        <f t="shared" ref="H17:O17" si="5">H15/H18</f>
        <v>8.6773015384615384</v>
      </c>
      <c r="I17" s="72">
        <f t="shared" si="5"/>
        <v>9.8715100000000007</v>
      </c>
      <c r="J17" s="72">
        <f t="shared" si="5"/>
        <v>10.591645589743591</v>
      </c>
      <c r="K17" s="72">
        <f t="shared" si="5"/>
        <v>10.770450125335598</v>
      </c>
      <c r="L17" s="72">
        <f t="shared" si="5"/>
        <v>11.403214070199066</v>
      </c>
      <c r="M17" s="72">
        <f t="shared" si="5"/>
        <v>11.916358703358023</v>
      </c>
      <c r="N17" s="72">
        <f t="shared" si="5"/>
        <v>12.614316855983278</v>
      </c>
      <c r="O17" s="72">
        <f t="shared" si="5"/>
        <v>13.350960615970505</v>
      </c>
      <c r="P17" s="72">
        <f>P15/P18</f>
        <v>13.655159718612872</v>
      </c>
      <c r="Q17" s="72"/>
    </row>
    <row r="18" spans="1:18" ht="31.5" thickBot="1" x14ac:dyDescent="0.4">
      <c r="A18" s="2" t="s">
        <v>38</v>
      </c>
      <c r="C18" s="82"/>
      <c r="D18" s="82"/>
      <c r="E18" s="82"/>
      <c r="F18" s="82"/>
      <c r="G18" s="72">
        <f>C50</f>
        <v>1560</v>
      </c>
      <c r="H18" s="72">
        <f>G18*1</f>
        <v>1560</v>
      </c>
      <c r="I18" s="72">
        <f t="shared" ref="I18:P18" si="6">H18*1</f>
        <v>1560</v>
      </c>
      <c r="J18" s="72">
        <f t="shared" si="6"/>
        <v>1560</v>
      </c>
      <c r="K18" s="72">
        <f t="shared" si="6"/>
        <v>1560</v>
      </c>
      <c r="L18" s="72">
        <f t="shared" si="6"/>
        <v>1560</v>
      </c>
      <c r="M18" s="72">
        <f t="shared" si="6"/>
        <v>1560</v>
      </c>
      <c r="N18" s="72">
        <f t="shared" si="6"/>
        <v>1560</v>
      </c>
      <c r="O18" s="72">
        <f t="shared" si="6"/>
        <v>1560</v>
      </c>
      <c r="P18" s="72">
        <f t="shared" si="6"/>
        <v>1560</v>
      </c>
      <c r="Q18" s="72"/>
    </row>
    <row r="19" spans="1:18" ht="16" thickBot="1" x14ac:dyDescent="0.4">
      <c r="A19" s="2"/>
      <c r="E19" s="51" t="s">
        <v>12</v>
      </c>
      <c r="F19" s="52"/>
      <c r="G19" s="53">
        <f>G15/(1+$C$55)</f>
        <v>10686.298357664233</v>
      </c>
      <c r="H19" s="53">
        <f>H15/(1+$C$55)^2</f>
        <v>11269.072673024664</v>
      </c>
      <c r="I19" s="53">
        <f>I15/(1+$C$55)^3</f>
        <v>11697.054831153091</v>
      </c>
      <c r="J19" s="53">
        <f>J15/(1+$C$55)^4</f>
        <v>11451.063475118399</v>
      </c>
      <c r="K19" s="53">
        <f>K15/(1+$C$55)^5</f>
        <v>10624.431030377886</v>
      </c>
      <c r="L19" s="53">
        <f>L15/(1+$C$55)^6</f>
        <v>10263.336088880098</v>
      </c>
      <c r="M19" s="53">
        <f>M15/(1+$C$55)^7</f>
        <v>9785.7538438683405</v>
      </c>
      <c r="N19" s="53">
        <f>N15/(1+$C$55)^8</f>
        <v>9451.5688194818013</v>
      </c>
      <c r="O19" s="53">
        <f>O15/(1+$C$55)^9</f>
        <v>9127.2958063391361</v>
      </c>
      <c r="P19" s="53">
        <f>P15/(1+$C$55)^10</f>
        <v>8517.5725440289443</v>
      </c>
      <c r="Q19" s="54">
        <f>(Q15/(C55-Q12))/(1+C55)^10</f>
        <v>114314.78940670424</v>
      </c>
    </row>
    <row r="20" spans="1:18" x14ac:dyDescent="0.35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3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" thickBot="1" x14ac:dyDescent="0.4">
      <c r="P22" s="3"/>
      <c r="Q22" s="3"/>
      <c r="R22" s="3"/>
    </row>
    <row r="23" spans="1:18" x14ac:dyDescent="0.3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8">
        <v>3.7499999999999999E-2</v>
      </c>
      <c r="J23" s="24" t="s">
        <v>26</v>
      </c>
    </row>
    <row r="24" spans="1:18" x14ac:dyDescent="0.35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35">
      <c r="A25" s="35"/>
      <c r="B25" s="36"/>
      <c r="C25" s="36"/>
      <c r="D25" s="38"/>
      <c r="F25" s="36"/>
      <c r="G25" s="25" t="s">
        <v>27</v>
      </c>
      <c r="I25" s="80">
        <f>(I27-I23)*I29</f>
        <v>5.8500000000000017E-2</v>
      </c>
      <c r="J25" s="26"/>
    </row>
    <row r="26" spans="1:18" x14ac:dyDescent="0.35">
      <c r="A26" s="35"/>
      <c r="B26" s="36"/>
      <c r="C26" s="36"/>
      <c r="D26" s="38"/>
      <c r="F26" s="36"/>
      <c r="G26" s="25"/>
      <c r="I26" s="79"/>
      <c r="J26" s="26"/>
    </row>
    <row r="27" spans="1:18" x14ac:dyDescent="0.35">
      <c r="A27" s="35"/>
      <c r="B27" s="36"/>
      <c r="C27" s="36"/>
      <c r="D27" s="38"/>
      <c r="F27" s="36"/>
      <c r="G27" s="25" t="s">
        <v>28</v>
      </c>
      <c r="I27" s="81">
        <v>7.0000000000000007E-2</v>
      </c>
      <c r="J27" s="26" t="s">
        <v>29</v>
      </c>
    </row>
    <row r="28" spans="1:18" x14ac:dyDescent="0.35">
      <c r="A28" s="35"/>
      <c r="B28" s="36"/>
      <c r="C28" s="36"/>
      <c r="D28" s="39"/>
      <c r="F28" s="36"/>
      <c r="G28" s="25"/>
      <c r="I28" s="79"/>
      <c r="J28" s="26"/>
    </row>
    <row r="29" spans="1:18" x14ac:dyDescent="0.35">
      <c r="A29" s="35"/>
      <c r="B29" s="36"/>
      <c r="C29" s="36"/>
      <c r="D29" s="39"/>
      <c r="F29" s="36"/>
      <c r="G29" s="25" t="s">
        <v>35</v>
      </c>
      <c r="I29" s="79">
        <v>1.8</v>
      </c>
      <c r="J29" s="26" t="s">
        <v>30</v>
      </c>
    </row>
    <row r="30" spans="1:18" x14ac:dyDescent="0.35">
      <c r="A30" s="35"/>
      <c r="B30" s="36"/>
      <c r="C30" s="36"/>
      <c r="D30" s="40"/>
      <c r="F30" s="36"/>
      <c r="G30" s="25"/>
      <c r="I30" s="79"/>
      <c r="J30" s="26"/>
    </row>
    <row r="31" spans="1:18" x14ac:dyDescent="0.35">
      <c r="A31" s="35"/>
      <c r="B31" s="36"/>
      <c r="C31" s="36"/>
      <c r="D31" s="37"/>
      <c r="F31" s="36"/>
      <c r="G31" s="25" t="s">
        <v>31</v>
      </c>
      <c r="I31" s="81">
        <f>I23+(I27-I23)*I29</f>
        <v>9.6000000000000016E-2</v>
      </c>
      <c r="J31" s="26" t="s">
        <v>32</v>
      </c>
    </row>
    <row r="32" spans="1:18" x14ac:dyDescent="0.35">
      <c r="A32" s="25"/>
      <c r="C32" s="41"/>
      <c r="E32" s="36"/>
      <c r="F32" s="36"/>
      <c r="G32" s="25"/>
      <c r="J32" s="26"/>
    </row>
    <row r="33" spans="1:10" x14ac:dyDescent="0.35">
      <c r="A33" s="25"/>
      <c r="G33" s="76" t="s">
        <v>34</v>
      </c>
      <c r="H33" s="22"/>
      <c r="I33" s="77">
        <f>I31</f>
        <v>9.6000000000000016E-2</v>
      </c>
      <c r="J33" s="26"/>
    </row>
    <row r="34" spans="1:10" x14ac:dyDescent="0.3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35">
      <c r="A35" s="25"/>
      <c r="G35" s="25"/>
      <c r="J35" s="26"/>
    </row>
    <row r="36" spans="1:10" ht="15.75" hidden="1" customHeight="1" x14ac:dyDescent="0.3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35">
      <c r="A37" s="25"/>
      <c r="G37" s="25"/>
      <c r="J37" s="26"/>
    </row>
    <row r="38" spans="1:10" ht="15.75" hidden="1" customHeight="1" x14ac:dyDescent="0.35">
      <c r="A38" s="25"/>
      <c r="G38" s="25"/>
      <c r="J38" s="26"/>
    </row>
    <row r="39" spans="1:10" ht="15.75" hidden="1" customHeight="1" x14ac:dyDescent="0.35">
      <c r="A39" s="25"/>
      <c r="G39" s="25"/>
      <c r="J39" s="26"/>
    </row>
    <row r="40" spans="1:10" hidden="1" x14ac:dyDescent="0.3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3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3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3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3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35">
      <c r="A45" s="25"/>
      <c r="G45" s="25"/>
      <c r="J45" s="26"/>
    </row>
    <row r="46" spans="1:10" ht="16" thickBot="1" x14ac:dyDescent="0.4">
      <c r="A46" s="28"/>
      <c r="B46" s="29" t="s">
        <v>20</v>
      </c>
      <c r="C46" s="29"/>
      <c r="D46" s="44">
        <f>I33</f>
        <v>9.6000000000000016E-2</v>
      </c>
      <c r="E46" s="29"/>
      <c r="F46" s="29"/>
      <c r="G46" s="28"/>
      <c r="H46" s="29"/>
      <c r="I46" s="29"/>
      <c r="J46" s="30"/>
    </row>
    <row r="48" spans="1:10" x14ac:dyDescent="0.35">
      <c r="A48" s="16"/>
      <c r="B48" s="17"/>
      <c r="C48" s="83">
        <v>45143</v>
      </c>
      <c r="D48" s="18" t="s">
        <v>3</v>
      </c>
      <c r="E48" s="19"/>
      <c r="F48" s="20"/>
      <c r="G48" s="21"/>
      <c r="H48" s="21"/>
      <c r="I48" s="21"/>
    </row>
    <row r="49" spans="1:20" x14ac:dyDescent="0.35">
      <c r="A49" s="45" t="s">
        <v>0</v>
      </c>
      <c r="B49" s="46" t="s">
        <v>5</v>
      </c>
      <c r="C49" s="56">
        <f>C50*C51</f>
        <v>216278.39999999997</v>
      </c>
      <c r="D49" s="47">
        <f>SUM(G19:Q19)</f>
        <v>217188.23687664082</v>
      </c>
      <c r="E49" s="46" t="s">
        <v>49</v>
      </c>
    </row>
    <row r="50" spans="1:20" x14ac:dyDescent="0.35">
      <c r="A50" s="45"/>
      <c r="B50" s="46" t="s">
        <v>11</v>
      </c>
      <c r="C50" s="56">
        <v>1560</v>
      </c>
      <c r="D50" s="56">
        <f>C50</f>
        <v>1560</v>
      </c>
      <c r="E50" s="46"/>
    </row>
    <row r="51" spans="1:20" x14ac:dyDescent="0.35">
      <c r="A51" s="45"/>
      <c r="B51" s="46" t="s">
        <v>13</v>
      </c>
      <c r="C51" s="87">
        <v>138.63999999999999</v>
      </c>
      <c r="D51" s="87">
        <f>D49/(D50)</f>
        <v>139.22322876707744</v>
      </c>
      <c r="E51" s="46" t="s">
        <v>49</v>
      </c>
    </row>
    <row r="52" spans="1:20" x14ac:dyDescent="0.35">
      <c r="A52" s="45"/>
      <c r="B52" s="46" t="s">
        <v>2</v>
      </c>
      <c r="C52" s="46"/>
      <c r="D52" s="57">
        <f>IF(C51/D51-1&gt;0,0,C51/D51-1)*-1</f>
        <v>4.1891627729249148E-3</v>
      </c>
      <c r="E52" s="46"/>
    </row>
    <row r="53" spans="1:20" x14ac:dyDescent="0.35">
      <c r="A53" s="45"/>
      <c r="B53" s="46" t="s">
        <v>14</v>
      </c>
      <c r="C53" s="46"/>
      <c r="D53" s="58">
        <f>IF(C51/D51-1&lt;0,0,C51/D51-1)</f>
        <v>0</v>
      </c>
      <c r="E53" s="46"/>
    </row>
    <row r="54" spans="1:20" x14ac:dyDescent="0.35">
      <c r="A54" s="46"/>
      <c r="B54" s="46"/>
      <c r="C54" s="46"/>
      <c r="D54" s="48"/>
      <c r="E54" s="48"/>
    </row>
    <row r="55" spans="1:20" x14ac:dyDescent="0.35">
      <c r="A55" s="48" t="s">
        <v>19</v>
      </c>
      <c r="B55" s="46"/>
      <c r="C55" s="50">
        <f>D46</f>
        <v>9.6000000000000016E-2</v>
      </c>
      <c r="D55" s="49"/>
      <c r="E55" s="46"/>
      <c r="J55" s="70"/>
    </row>
    <row r="56" spans="1:20" x14ac:dyDescent="0.35">
      <c r="A56" s="48"/>
      <c r="B56" s="46"/>
      <c r="C56" s="50"/>
      <c r="D56" s="49"/>
      <c r="E56" s="46"/>
    </row>
    <row r="57" spans="1:20" hidden="1" x14ac:dyDescent="0.35">
      <c r="A57" s="48" t="s">
        <v>22</v>
      </c>
      <c r="B57" s="73">
        <v>0.108</v>
      </c>
      <c r="C57" s="50"/>
      <c r="D57" s="74">
        <f>SUM(H57:Q57)*1000</f>
        <v>178102750.13976303</v>
      </c>
      <c r="E57" s="46"/>
      <c r="F57" s="1" t="s">
        <v>23</v>
      </c>
      <c r="H57" s="1">
        <f>G15/(1+$B$57)</f>
        <v>10570.562274368229</v>
      </c>
      <c r="I57" s="1">
        <f>H15/(1+$B$57)^2</f>
        <v>11026.299052509477</v>
      </c>
      <c r="J57" s="1">
        <f>I15/(1+$B$57)^3</f>
        <v>11321.107309880008</v>
      </c>
      <c r="K57" s="1">
        <f>J15/(1+$B$57)^4</f>
        <v>10962.98947246313</v>
      </c>
      <c r="L57" s="1">
        <f>K15/(1+$B$57)^5</f>
        <v>10061.428617672862</v>
      </c>
      <c r="M57" s="1">
        <f>L15/(1+$B$57)^6</f>
        <v>9614.2035640443537</v>
      </c>
      <c r="N57" s="1">
        <f>M15/(1+$B$57)^7</f>
        <v>9067.5475852223353</v>
      </c>
      <c r="O57" s="1">
        <f>N15/(1+$B$57)^8</f>
        <v>8663.0386289965791</v>
      </c>
      <c r="P57" s="1">
        <f>O15/(1+$B$57)^9</f>
        <v>8275.2146859299792</v>
      </c>
      <c r="Q57" s="1">
        <f>(Q15/(B57-Q12))/(1+B57)^10</f>
        <v>88540.358948676076</v>
      </c>
    </row>
    <row r="58" spans="1:20" ht="16" thickBot="1" x14ac:dyDescent="0.4">
      <c r="A58" s="22"/>
      <c r="C58" s="65"/>
      <c r="D58" s="66"/>
    </row>
    <row r="59" spans="1:20" x14ac:dyDescent="0.35">
      <c r="A59" s="59" t="s">
        <v>42</v>
      </c>
      <c r="B59" s="23"/>
      <c r="C59" s="67">
        <v>24</v>
      </c>
      <c r="D59" s="23"/>
      <c r="E59" s="24"/>
    </row>
    <row r="60" spans="1:20" x14ac:dyDescent="0.35">
      <c r="A60" s="25" t="s">
        <v>21</v>
      </c>
      <c r="C60" s="68"/>
      <c r="D60" s="68"/>
      <c r="E60" s="26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x14ac:dyDescent="0.35">
      <c r="A61" s="25"/>
      <c r="C61" s="68"/>
      <c r="E61" s="26"/>
    </row>
    <row r="62" spans="1:20" x14ac:dyDescent="0.35">
      <c r="A62" s="25" t="s">
        <v>37</v>
      </c>
      <c r="C62" s="68"/>
      <c r="E62" s="60">
        <f>P17*C59</f>
        <v>327.72383324670892</v>
      </c>
    </row>
    <row r="63" spans="1:20" x14ac:dyDescent="0.35">
      <c r="A63" s="25"/>
      <c r="C63" s="68"/>
      <c r="E63" s="26"/>
    </row>
    <row r="64" spans="1:20" x14ac:dyDescent="0.35">
      <c r="A64" s="25" t="s">
        <v>17</v>
      </c>
      <c r="C64" s="69">
        <v>0.5</v>
      </c>
      <c r="E64" s="26"/>
    </row>
    <row r="65" spans="1:5" x14ac:dyDescent="0.35">
      <c r="A65" s="25"/>
      <c r="E65" s="26"/>
    </row>
    <row r="66" spans="1:5" x14ac:dyDescent="0.35">
      <c r="A66" s="25" t="s">
        <v>18</v>
      </c>
      <c r="E66" s="60">
        <f>SUM(G17:Q17)*C64</f>
        <v>55.179363416524552</v>
      </c>
    </row>
    <row r="67" spans="1:5" x14ac:dyDescent="0.35">
      <c r="A67" s="25"/>
      <c r="E67" s="61"/>
    </row>
    <row r="68" spans="1:5" x14ac:dyDescent="0.35">
      <c r="A68" s="103" t="s">
        <v>47</v>
      </c>
      <c r="E68" s="104">
        <f>(E66*0.25)*-1</f>
        <v>-13.794840854131138</v>
      </c>
    </row>
    <row r="69" spans="1:5" x14ac:dyDescent="0.35">
      <c r="A69" s="25"/>
      <c r="C69" s="41"/>
      <c r="D69" s="41"/>
      <c r="E69" s="62"/>
    </row>
    <row r="70" spans="1:5" x14ac:dyDescent="0.35">
      <c r="A70" s="25" t="s">
        <v>43</v>
      </c>
      <c r="E70" s="60">
        <f>SUM(E62:E68)</f>
        <v>369.10835580910236</v>
      </c>
    </row>
    <row r="71" spans="1:5" x14ac:dyDescent="0.35">
      <c r="A71" s="25"/>
      <c r="E71" s="60"/>
    </row>
    <row r="72" spans="1:5" x14ac:dyDescent="0.35">
      <c r="A72" s="25" t="s">
        <v>44</v>
      </c>
      <c r="E72" s="62">
        <f>E70/C51-1</f>
        <v>1.6623510949877551</v>
      </c>
    </row>
    <row r="73" spans="1:5" x14ac:dyDescent="0.35">
      <c r="A73" s="25"/>
      <c r="E73" s="26"/>
    </row>
    <row r="74" spans="1:5" ht="16" thickBot="1" x14ac:dyDescent="0.4">
      <c r="A74" s="63" t="s">
        <v>45</v>
      </c>
      <c r="B74" s="64"/>
      <c r="C74" s="64"/>
      <c r="D74" s="64"/>
      <c r="E74" s="102">
        <f>(E70/C51)^(1/10)-1</f>
        <v>0.10287561067364814</v>
      </c>
    </row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3" priority="5" percent="1" rank="10"/>
  </conditionalFormatting>
  <conditionalFormatting sqref="L2:L5">
    <cfRule type="top10" dxfId="2" priority="3" percent="1" rank="10"/>
  </conditionalFormatting>
  <conditionalFormatting sqref="L6:L8">
    <cfRule type="top10" dxfId="1" priority="6" percent="1" rank="10"/>
  </conditionalFormatting>
  <conditionalFormatting sqref="L9">
    <cfRule type="top10" dxfId="0" priority="4" percent="1" rank="1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Wachstum für faire Bewertung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2023-08-05T08:41:28Z</dcterms:modified>
</cp:coreProperties>
</file>