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1D9A764-4565-4CF3-9875-A1FEE536E1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4" l="1"/>
  <c r="G11" i="35"/>
  <c r="J11" i="32"/>
  <c r="H12" i="35" l="1"/>
  <c r="H11" i="35" s="1"/>
  <c r="H12" i="34" l="1"/>
  <c r="I12" i="34"/>
  <c r="H12" i="32"/>
  <c r="I12" i="32"/>
  <c r="I12" i="35" l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J12" i="35" l="1"/>
  <c r="K12" i="35" s="1"/>
  <c r="L12" i="35" s="1"/>
  <c r="M12" i="35" s="1"/>
  <c r="N12" i="35" s="1"/>
  <c r="O12" i="35" s="1"/>
  <c r="I11" i="35"/>
  <c r="J11" i="35" l="1"/>
  <c r="K11" i="35" s="1"/>
  <c r="L11" i="35" s="1"/>
  <c r="D14" i="34"/>
  <c r="E14" i="34"/>
  <c r="F14" i="34"/>
  <c r="G14" i="34"/>
  <c r="H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G12" i="34" l="1"/>
  <c r="E12" i="34"/>
  <c r="F12" i="34"/>
  <c r="D12" i="34"/>
  <c r="D12" i="32" l="1"/>
  <c r="E12" i="32"/>
  <c r="F12" i="32"/>
  <c r="G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I14" i="34" l="1"/>
  <c r="I19" i="34" l="1"/>
  <c r="I17" i="34"/>
  <c r="J57" i="34"/>
  <c r="I16" i="34"/>
  <c r="J14" i="34"/>
  <c r="K11" i="34" l="1"/>
  <c r="J19" i="34" l="1"/>
  <c r="K57" i="34"/>
  <c r="J1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P57" i="34"/>
  <c r="O17" i="34"/>
  <c r="O19" i="34"/>
  <c r="D44" i="34" l="1"/>
  <c r="D41" i="34"/>
  <c r="D43" i="34"/>
  <c r="D42" i="34"/>
  <c r="P17" i="34"/>
  <c r="P19" i="34"/>
  <c r="D40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2" i="34" s="1"/>
  <c r="J14" i="32"/>
  <c r="E74" i="34" l="1"/>
  <c r="K11" i="32"/>
  <c r="J19" i="32" l="1"/>
  <c r="K57" i="32"/>
  <c r="J17" i="32"/>
  <c r="J16" i="32"/>
  <c r="L11" i="32"/>
  <c r="K14" i="32"/>
  <c r="K15" i="32" s="1"/>
  <c r="K19" i="32" l="1"/>
  <c r="L57" i="32"/>
  <c r="K17" i="32"/>
  <c r="M11" i="32"/>
  <c r="L14" i="32"/>
  <c r="L15" i="32" s="1"/>
  <c r="M57" i="32" l="1"/>
  <c r="L17" i="32"/>
  <c r="L19" i="32"/>
  <c r="M14" i="32"/>
  <c r="M15" i="32" s="1"/>
  <c r="N11" i="32"/>
  <c r="M17" i="32" l="1"/>
  <c r="N57" i="32"/>
  <c r="M19" i="32"/>
  <c r="N14" i="32"/>
  <c r="N15" i="32" s="1"/>
  <c r="O11" i="32"/>
  <c r="O57" i="32" l="1"/>
  <c r="N17" i="32"/>
  <c r="N19" i="32"/>
  <c r="O14" i="32"/>
  <c r="O15" i="32" s="1"/>
  <c r="P11" i="32"/>
  <c r="Q11" i="32" l="1"/>
  <c r="Q14" i="32" s="1"/>
  <c r="Q15" i="32" s="1"/>
  <c r="P14" i="32"/>
  <c r="P15" i="32" s="1"/>
  <c r="O19" i="32"/>
  <c r="P57" i="32"/>
  <c r="O17" i="32"/>
  <c r="D40" i="32" l="1"/>
  <c r="D41" i="32"/>
  <c r="P19" i="32"/>
  <c r="P17" i="32"/>
  <c r="D44" i="32"/>
  <c r="Q19" i="32"/>
  <c r="Q57" i="32"/>
  <c r="D57" i="32" s="1"/>
  <c r="D43" i="32"/>
  <c r="D42" i="32"/>
  <c r="D49" i="32" l="1"/>
  <c r="D51" i="32" s="1"/>
  <c r="E62" i="32"/>
  <c r="E66" i="32"/>
  <c r="E68" i="32" s="1"/>
  <c r="E70" i="32" l="1"/>
  <c r="D52" i="32"/>
  <c r="D53" i="32"/>
  <c r="E72" i="32" l="1"/>
  <c r="E74" i="32"/>
</calcChain>
</file>

<file path=xl/sharedStrings.xml><?xml version="1.0" encoding="utf-8"?>
<sst xmlns="http://schemas.openxmlformats.org/spreadsheetml/2006/main" count="148" uniqueCount="49">
  <si>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</si>
  <si>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</si>
  <si>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</si>
  <si>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</si>
  <si>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</si>
  <si>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</si>
  <si>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</si>
  <si>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</si>
  <si>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</si>
  <si>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</si>
  <si>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</si>
  <si>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</si>
  <si>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</si>
  <si>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</si>
  <si>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</si>
  <si>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</si>
  <si>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</si>
  <si>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</si>
  <si>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</si>
  <si>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</si>
  <si>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</si>
  <si>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</si>
  <si>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</si>
  <si>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</si>
  <si>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</si>
  <si>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</si>
  <si>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</si>
  <si>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</si>
  <si>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</si>
  <si>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</si>
  <si>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</si>
  <si>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</si>
  <si>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</si>
  <si>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</si>
  <si>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</si>
  <si>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</si>
  <si>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</si>
  <si>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</si>
  <si>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</si>
  <si>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</si>
  <si>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</si>
  <si>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GBP</t>
  </si>
  <si>
    <t>Quellensteuer GB (25 %)</t>
  </si>
  <si>
    <t xml:space="preserve"> Annahmen für Diageo</t>
  </si>
  <si>
    <t>2034ff.</t>
  </si>
  <si>
    <t>KGV Multiple in 2033</t>
  </si>
  <si>
    <t>Gesamtwert 2033</t>
  </si>
  <si>
    <t>Steigerung Gesamt bis 2033 in Prozent</t>
  </si>
  <si>
    <t>Renditeerwartung bis 2033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</si>
</sst>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12332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topLeftCell="A49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43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2020</v>
      </c>
      <c r="D10" s="11">
        <v>2021</v>
      </c>
      <c r="E10" s="11">
        <v>2022</v>
      </c>
      <c r="F10" s="11">
        <v>2023</v>
      </c>
      <c r="G10" s="55">
        <v>2024</v>
      </c>
      <c r="H10" s="55">
        <v>2025</v>
      </c>
      <c r="I10" s="55">
        <v>2026</v>
      </c>
      <c r="J10" s="55">
        <v>2027</v>
      </c>
      <c r="K10" s="55">
        <v>2028</v>
      </c>
      <c r="L10" s="55">
        <v>2029</v>
      </c>
      <c r="M10" s="55">
        <v>2030</v>
      </c>
      <c r="N10" s="55">
        <v>2031</v>
      </c>
      <c r="O10" s="55">
        <v>2032</v>
      </c>
      <c r="P10" s="55">
        <v>2033</v>
      </c>
      <c r="Q10" s="55" t="s">
        <v>44</v>
      </c>
    </row>
    <row r="11" spans="1:28" x14ac:dyDescent="0.35">
      <c r="A11" s="5"/>
      <c r="B11" s="4" t="s">
        <v>4</v>
      </c>
      <c r="C11" s="82">
        <v>11752</v>
      </c>
      <c r="D11" s="82">
        <v>12733</v>
      </c>
      <c r="E11" s="82">
        <v>15452</v>
      </c>
      <c r="F11" s="82">
        <v>17113</v>
      </c>
      <c r="G11" s="72">
        <v>17132.28</v>
      </c>
      <c r="H11" s="72">
        <v>18100.36</v>
      </c>
      <c r="I11" s="72">
        <v>19055.330000000002</v>
      </c>
      <c r="J11" s="72">
        <f>I11*(1+J12)</f>
        <v>19817.543200000004</v>
      </c>
      <c r="K11" s="72">
        <f>J11*(1+K12)</f>
        <v>20610.244928000004</v>
      </c>
      <c r="L11" s="72">
        <f t="shared" ref="L11:Q11" si="0">K11*(1+L12)</f>
        <v>21434.654725120006</v>
      </c>
      <c r="M11" s="72">
        <f t="shared" si="0"/>
        <v>22184.867640499204</v>
      </c>
      <c r="N11" s="72">
        <f t="shared" si="0"/>
        <v>22961.338007916675</v>
      </c>
      <c r="O11" s="72">
        <f t="shared" si="0"/>
        <v>23650.178148154177</v>
      </c>
      <c r="P11" s="72">
        <f t="shared" si="0"/>
        <v>24123.18171111726</v>
      </c>
      <c r="Q11" s="72">
        <f t="shared" si="0"/>
        <v>24485.029436784018</v>
      </c>
    </row>
    <row r="12" spans="1:28" x14ac:dyDescent="0.35">
      <c r="A12" s="5"/>
      <c r="B12" s="4" t="s">
        <v>1</v>
      </c>
      <c r="C12" s="86"/>
      <c r="D12" s="89">
        <f t="shared" ref="D12:I12" si="1">D11/C11-1</f>
        <v>8.3475153165418758E-2</v>
      </c>
      <c r="E12" s="89">
        <f t="shared" si="1"/>
        <v>0.21353962145605898</v>
      </c>
      <c r="F12" s="89">
        <f t="shared" si="1"/>
        <v>0.10749417551126061</v>
      </c>
      <c r="G12" s="85">
        <f t="shared" si="1"/>
        <v>1.1266288786302425E-3</v>
      </c>
      <c r="H12" s="85">
        <f t="shared" si="1"/>
        <v>5.6506197657288038E-2</v>
      </c>
      <c r="I12" s="85">
        <f t="shared" si="1"/>
        <v>5.2759724115984508E-2</v>
      </c>
      <c r="J12" s="71">
        <v>0.04</v>
      </c>
      <c r="K12" s="71">
        <v>0.04</v>
      </c>
      <c r="L12" s="71">
        <v>0.04</v>
      </c>
      <c r="M12" s="71">
        <v>3.5000000000000003E-2</v>
      </c>
      <c r="N12" s="71">
        <v>3.5000000000000003E-2</v>
      </c>
      <c r="O12" s="71">
        <v>0.03</v>
      </c>
      <c r="P12" s="71">
        <v>0.02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88">
        <v>0.2959</v>
      </c>
      <c r="D13" s="88">
        <v>0.2959</v>
      </c>
      <c r="E13" s="88">
        <v>0.31130000000000002</v>
      </c>
      <c r="F13" s="88">
        <v>0.31230000000000002</v>
      </c>
      <c r="G13" s="84">
        <v>0.30980000000000002</v>
      </c>
      <c r="H13" s="84">
        <v>0.31409999999999999</v>
      </c>
      <c r="I13" s="84">
        <v>0.31950000000000001</v>
      </c>
      <c r="J13" s="84">
        <v>0.32</v>
      </c>
      <c r="K13" s="84">
        <v>0.32</v>
      </c>
      <c r="L13" s="84">
        <v>0.32</v>
      </c>
      <c r="M13" s="84">
        <v>0.32</v>
      </c>
      <c r="N13" s="84">
        <v>0.32</v>
      </c>
      <c r="O13" s="84">
        <v>0.32</v>
      </c>
      <c r="P13" s="84">
        <v>0.32</v>
      </c>
      <c r="Q13" s="84">
        <v>0.32</v>
      </c>
    </row>
    <row r="14" spans="1:28" ht="17.149999999999999" customHeight="1" x14ac:dyDescent="0.35">
      <c r="A14" s="5"/>
      <c r="B14" s="4" t="s">
        <v>16</v>
      </c>
      <c r="C14" s="82">
        <f>C11*C13</f>
        <v>3477.4168</v>
      </c>
      <c r="D14" s="82">
        <f t="shared" ref="D14:I14" si="2">D11*D13</f>
        <v>3767.6947</v>
      </c>
      <c r="E14" s="82">
        <f t="shared" si="2"/>
        <v>4810.2076000000006</v>
      </c>
      <c r="F14" s="82">
        <f t="shared" si="2"/>
        <v>5344.3899000000001</v>
      </c>
      <c r="G14" s="72">
        <f t="shared" si="2"/>
        <v>5307.580344</v>
      </c>
      <c r="H14" s="72">
        <f t="shared" si="2"/>
        <v>5685.3230759999997</v>
      </c>
      <c r="I14" s="72">
        <f t="shared" si="2"/>
        <v>6088.1779350000006</v>
      </c>
      <c r="J14" s="72">
        <f>J11*J13</f>
        <v>6341.6138240000009</v>
      </c>
      <c r="K14" s="72">
        <f t="shared" ref="K14:Q14" si="3">K11*K13</f>
        <v>6595.278376960001</v>
      </c>
      <c r="L14" s="72">
        <f t="shared" si="3"/>
        <v>6859.0895120384021</v>
      </c>
      <c r="M14" s="72">
        <f t="shared" si="3"/>
        <v>7099.1576449597451</v>
      </c>
      <c r="N14" s="72">
        <f t="shared" si="3"/>
        <v>7347.6281625333359</v>
      </c>
      <c r="O14" s="72">
        <f t="shared" si="3"/>
        <v>7568.0570074093366</v>
      </c>
      <c r="P14" s="72">
        <f>P11*P13</f>
        <v>7719.4181475575233</v>
      </c>
      <c r="Q14" s="72">
        <f t="shared" si="3"/>
        <v>7835.2094197708857</v>
      </c>
    </row>
    <row r="15" spans="1:28" x14ac:dyDescent="0.35">
      <c r="A15" s="100">
        <v>0.3</v>
      </c>
      <c r="B15" s="4" t="s">
        <v>39</v>
      </c>
      <c r="C15" s="82">
        <v>1409.0648000000001</v>
      </c>
      <c r="D15" s="82">
        <v>2659.9236999999998</v>
      </c>
      <c r="E15" s="82">
        <v>3249.5555999999997</v>
      </c>
      <c r="F15" s="82">
        <v>3734.0565999999999</v>
      </c>
      <c r="G15" s="72">
        <v>3703.998936</v>
      </c>
      <c r="H15" s="72">
        <v>3987.5093080000001</v>
      </c>
      <c r="I15" s="72">
        <v>4317.9377780000004</v>
      </c>
      <c r="J15" s="72">
        <v>12632.687892</v>
      </c>
      <c r="K15" s="72">
        <f>K14*(1-$A$15)</f>
        <v>4616.6948638720005</v>
      </c>
      <c r="L15" s="72">
        <f t="shared" ref="L15:Q15" si="4">L14*(1-$A$15)</f>
        <v>4801.3626584268814</v>
      </c>
      <c r="M15" s="72">
        <f t="shared" si="4"/>
        <v>4969.4103514718208</v>
      </c>
      <c r="N15" s="72">
        <f t="shared" si="4"/>
        <v>5143.3397137733346</v>
      </c>
      <c r="O15" s="72">
        <f t="shared" si="4"/>
        <v>5297.6399051865355</v>
      </c>
      <c r="P15" s="72">
        <f>P14*(1-$A$15)</f>
        <v>5403.5927032902664</v>
      </c>
      <c r="Q15" s="72">
        <f t="shared" si="4"/>
        <v>5484.6465938396195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0.40520446096654278</v>
      </c>
      <c r="D16" s="15">
        <f t="shared" si="5"/>
        <v>0.70598175059141599</v>
      </c>
      <c r="E16" s="15">
        <f t="shared" si="5"/>
        <v>0.67555412785094748</v>
      </c>
      <c r="F16" s="15">
        <f t="shared" si="5"/>
        <v>0.69868715978226059</v>
      </c>
      <c r="G16" s="15">
        <f t="shared" si="5"/>
        <v>0.69786959328599096</v>
      </c>
      <c r="H16" s="15">
        <f t="shared" si="5"/>
        <v>0.70136899076727166</v>
      </c>
      <c r="I16" s="15">
        <f t="shared" si="5"/>
        <v>0.7092331768388106</v>
      </c>
      <c r="J16" s="15">
        <f t="shared" si="5"/>
        <v>1.9920304582709321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1.6309990911492733</v>
      </c>
      <c r="H17" s="72">
        <f t="shared" ref="H17:P17" si="6">H15/H18</f>
        <v>1.7602391306315104</v>
      </c>
      <c r="I17" s="72">
        <f t="shared" si="6"/>
        <v>1.9108800964070161</v>
      </c>
      <c r="J17" s="72">
        <f t="shared" si="6"/>
        <v>5.6045393035100792</v>
      </c>
      <c r="K17" s="72">
        <f t="shared" si="6"/>
        <v>2.0533473381744107</v>
      </c>
      <c r="L17" s="72">
        <f t="shared" si="6"/>
        <v>2.1408333149888592</v>
      </c>
      <c r="M17" s="72">
        <f t="shared" si="6"/>
        <v>2.2213157704395674</v>
      </c>
      <c r="N17" s="72">
        <f t="shared" si="6"/>
        <v>2.3048238821102283</v>
      </c>
      <c r="O17" s="72">
        <f t="shared" si="6"/>
        <v>2.3799183945599349</v>
      </c>
      <c r="P17" s="72">
        <f t="shared" si="6"/>
        <v>2.4336007643620388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2271</v>
      </c>
      <c r="H18" s="72">
        <f>G18*0.9975</f>
        <v>2265.3225000000002</v>
      </c>
      <c r="I18" s="72">
        <f t="shared" ref="I18:P18" si="7">H18*0.9975</f>
        <v>2259.6591937500002</v>
      </c>
      <c r="J18" s="72">
        <f t="shared" si="7"/>
        <v>2254.0100457656254</v>
      </c>
      <c r="K18" s="72">
        <f t="shared" si="7"/>
        <v>2248.3750206512113</v>
      </c>
      <c r="L18" s="72">
        <f t="shared" si="7"/>
        <v>2242.7540830995836</v>
      </c>
      <c r="M18" s="72">
        <f t="shared" si="7"/>
        <v>2237.1471978918348</v>
      </c>
      <c r="N18" s="72">
        <f t="shared" si="7"/>
        <v>2231.5543298971052</v>
      </c>
      <c r="O18" s="72">
        <f t="shared" si="7"/>
        <v>2225.9754440723627</v>
      </c>
      <c r="P18" s="72">
        <f t="shared" si="7"/>
        <v>2220.4105054621818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3379.5610729927002</v>
      </c>
      <c r="H19" s="53">
        <f>H15/(1+$C$55)^2</f>
        <v>3319.5606019233837</v>
      </c>
      <c r="I19" s="53">
        <f>I15/(1+$C$55)^3</f>
        <v>3279.7800312350146</v>
      </c>
      <c r="J19" s="53">
        <f>J15/(1+$C$55)^4</f>
        <v>8754.9475746128355</v>
      </c>
      <c r="K19" s="53">
        <f>K15/(1+$C$55)^5</f>
        <v>2919.2978032318288</v>
      </c>
      <c r="L19" s="53">
        <f>L15/(1+$C$55)^6</f>
        <v>2770.136601606845</v>
      </c>
      <c r="M19" s="53">
        <f>M15/(1+$C$55)^7</f>
        <v>2615.9592907509891</v>
      </c>
      <c r="N19" s="53">
        <f>N15/(1+$C$55)^8</f>
        <v>2470.363016357001</v>
      </c>
      <c r="O19" s="53">
        <f>O15/(1+$C$55)^9</f>
        <v>2321.6002799705393</v>
      </c>
      <c r="P19" s="53">
        <f>P15/(1+$C$55)^10</f>
        <v>2160.6133992426549</v>
      </c>
      <c r="Q19" s="54">
        <f>(Q15/(C55-Q12))/(1+C55)^10</f>
        <v>27074.353089275235</v>
      </c>
    </row>
    <row r="20" spans="1:18" x14ac:dyDescent="0.3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3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3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35">
      <c r="A29" s="35"/>
      <c r="B29" s="36"/>
      <c r="C29" s="36"/>
      <c r="D29" s="39"/>
      <c r="F29" s="36"/>
      <c r="G29" s="93" t="s">
        <v>35</v>
      </c>
      <c r="H29" s="6"/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3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93"/>
      <c r="H32" s="6"/>
      <c r="I32" s="6"/>
      <c r="J32" s="26"/>
    </row>
    <row r="33" spans="1:10" x14ac:dyDescent="0.35">
      <c r="A33" s="25"/>
      <c r="G33" s="97" t="s">
        <v>34</v>
      </c>
      <c r="H33" s="98"/>
      <c r="I33" s="99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45150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76192.049999999988</v>
      </c>
      <c r="D49" s="47">
        <f>SUM(G19:Q19)</f>
        <v>61066.172761199021</v>
      </c>
      <c r="E49" s="46" t="s">
        <v>41</v>
      </c>
    </row>
    <row r="50" spans="1:17" x14ac:dyDescent="0.35">
      <c r="A50" s="45"/>
      <c r="B50" s="46" t="s">
        <v>11</v>
      </c>
      <c r="C50" s="56">
        <v>2271</v>
      </c>
      <c r="D50" s="56">
        <f>C50</f>
        <v>2271</v>
      </c>
      <c r="E50" s="46"/>
    </row>
    <row r="51" spans="1:17" x14ac:dyDescent="0.35">
      <c r="A51" s="45"/>
      <c r="B51" s="46" t="s">
        <v>13</v>
      </c>
      <c r="C51" s="87">
        <v>33.549999999999997</v>
      </c>
      <c r="D51" s="56">
        <f>D49/(D50)</f>
        <v>26.889552074504191</v>
      </c>
      <c r="E51" s="46" t="s">
        <v>41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0.24769649963083729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51447731.817195319</v>
      </c>
      <c r="E57" s="46"/>
      <c r="F57" s="1" t="s">
        <v>23</v>
      </c>
      <c r="H57" s="1">
        <f>G15/(1+$B$57)</f>
        <v>3342.9593285198553</v>
      </c>
      <c r="I57" s="1">
        <f>H15/(1+$B$57)^2</f>
        <v>3248.0461331439215</v>
      </c>
      <c r="J57" s="1">
        <f>I15/(1+$B$57)^3</f>
        <v>3174.3667292660602</v>
      </c>
      <c r="K57" s="1">
        <f>J15/(1+$B$57)^4</f>
        <v>8381.7890190722865</v>
      </c>
      <c r="L57" s="1">
        <f>K15/(1+$B$57)^5</f>
        <v>2764.6004173742131</v>
      </c>
      <c r="M57" s="1">
        <f>L15/(1+$B$57)^6</f>
        <v>2594.9317997014277</v>
      </c>
      <c r="N57" s="1">
        <f>M15/(1+$B$57)^7</f>
        <v>2423.9660764358996</v>
      </c>
      <c r="O57" s="1">
        <f>N15/(1+$B$57)^8</f>
        <v>2264.2643403530278</v>
      </c>
      <c r="P57" s="1">
        <f>O15/(1+$B$57)^9</f>
        <v>2104.8666701837715</v>
      </c>
      <c r="Q57" s="1">
        <f>(Q15/(B57-Q12))/(1+B57)^10</f>
        <v>21147.941303144853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45</v>
      </c>
      <c r="B59" s="23"/>
      <c r="C59" s="67">
        <v>12</v>
      </c>
      <c r="D59" s="23"/>
      <c r="E59" s="24"/>
    </row>
    <row r="60" spans="1:17" x14ac:dyDescent="0.35">
      <c r="A60" s="25" t="s">
        <v>21</v>
      </c>
      <c r="C60" s="68"/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29.203209172344465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12.220248543166459</v>
      </c>
    </row>
    <row r="67" spans="1:5" x14ac:dyDescent="0.35">
      <c r="A67" s="25"/>
      <c r="E67" s="61"/>
    </row>
    <row r="68" spans="1:5" x14ac:dyDescent="0.35">
      <c r="A68" s="103" t="s">
        <v>42</v>
      </c>
      <c r="E68" s="104">
        <f>(E66*0.25)*-1</f>
        <v>-3.0550621357916148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46</v>
      </c>
      <c r="E70" s="60">
        <f>SUM(E62:E68)</f>
        <v>38.368395579719305</v>
      </c>
    </row>
    <row r="71" spans="1:5" x14ac:dyDescent="0.35">
      <c r="A71" s="25"/>
      <c r="E71" s="60"/>
    </row>
    <row r="72" spans="1:5" x14ac:dyDescent="0.35">
      <c r="A72" s="25" t="s">
        <v>47</v>
      </c>
      <c r="E72" s="62">
        <f>E70/C51-1</f>
        <v>0.14361834812874252</v>
      </c>
    </row>
    <row r="73" spans="1:5" x14ac:dyDescent="0.35">
      <c r="A73" s="25"/>
      <c r="E73" s="26"/>
    </row>
    <row r="74" spans="1:5" ht="16" thickBot="1" x14ac:dyDescent="0.4">
      <c r="A74" s="63" t="s">
        <v>48</v>
      </c>
      <c r="B74" s="64"/>
      <c r="C74" s="64"/>
      <c r="D74" s="64"/>
      <c r="E74" s="102">
        <f>(E70/C51)^(1/10)-1</f>
        <v>1.3510171174413443E-2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52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43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2020</v>
      </c>
      <c r="D10" s="11">
        <v>2021</v>
      </c>
      <c r="E10" s="11">
        <v>2022</v>
      </c>
      <c r="F10" s="11">
        <v>2023</v>
      </c>
      <c r="G10" s="55">
        <v>2024</v>
      </c>
      <c r="H10" s="55">
        <v>2025</v>
      </c>
      <c r="I10" s="55">
        <v>2026</v>
      </c>
      <c r="J10" s="55">
        <v>2027</v>
      </c>
      <c r="K10" s="55">
        <v>2028</v>
      </c>
      <c r="L10" s="55">
        <v>2029</v>
      </c>
      <c r="M10" s="55">
        <v>2030</v>
      </c>
      <c r="N10" s="55">
        <v>2031</v>
      </c>
      <c r="O10" s="55">
        <v>2032</v>
      </c>
      <c r="P10" s="55">
        <v>2033</v>
      </c>
      <c r="Q10" s="55" t="s">
        <v>44</v>
      </c>
    </row>
    <row r="11" spans="1:28" x14ac:dyDescent="0.35">
      <c r="A11" s="5"/>
      <c r="B11" s="4" t="s">
        <v>4</v>
      </c>
      <c r="C11" s="82">
        <v>11752</v>
      </c>
      <c r="D11" s="82">
        <v>12733</v>
      </c>
      <c r="E11" s="82">
        <v>15452</v>
      </c>
      <c r="F11" s="82">
        <v>17113</v>
      </c>
      <c r="G11" s="72">
        <v>17132.28</v>
      </c>
      <c r="H11" s="72">
        <v>18100.36</v>
      </c>
      <c r="I11" s="72">
        <v>19055.330000000002</v>
      </c>
      <c r="J11" s="72">
        <f>I11*(1+J12)</f>
        <v>20103.373149999999</v>
      </c>
      <c r="K11" s="72">
        <f>J11*(1+K12)</f>
        <v>21209.058673249998</v>
      </c>
      <c r="L11" s="72">
        <f t="shared" ref="L11:Q11" si="0">K11*(1+L12)</f>
        <v>22375.556900278745</v>
      </c>
      <c r="M11" s="72">
        <f t="shared" si="0"/>
        <v>23494.334745292683</v>
      </c>
      <c r="N11" s="72">
        <f t="shared" si="0"/>
        <v>24669.051482557319</v>
      </c>
      <c r="O11" s="72">
        <f t="shared" si="0"/>
        <v>25655.813541859614</v>
      </c>
      <c r="P11" s="72">
        <f t="shared" si="0"/>
        <v>26425.487948115402</v>
      </c>
      <c r="Q11" s="72">
        <f t="shared" si="0"/>
        <v>26953.997707077709</v>
      </c>
    </row>
    <row r="12" spans="1:28" x14ac:dyDescent="0.35">
      <c r="A12" s="5"/>
      <c r="B12" s="4" t="s">
        <v>1</v>
      </c>
      <c r="C12" s="89"/>
      <c r="D12" s="89">
        <f t="shared" ref="D12:I12" si="1">D11/C11-1</f>
        <v>8.3475153165418758E-2</v>
      </c>
      <c r="E12" s="89">
        <f t="shared" si="1"/>
        <v>0.21353962145605898</v>
      </c>
      <c r="F12" s="89">
        <f t="shared" si="1"/>
        <v>0.10749417551126061</v>
      </c>
      <c r="G12" s="85">
        <f t="shared" si="1"/>
        <v>1.1266288786302425E-3</v>
      </c>
      <c r="H12" s="85">
        <f t="shared" si="1"/>
        <v>5.6506197657288038E-2</v>
      </c>
      <c r="I12" s="85">
        <f t="shared" si="1"/>
        <v>5.2759724115984508E-2</v>
      </c>
      <c r="J12" s="85">
        <v>5.5E-2</v>
      </c>
      <c r="K12" s="85">
        <v>5.5E-2</v>
      </c>
      <c r="L12" s="71">
        <v>5.5E-2</v>
      </c>
      <c r="M12" s="71">
        <v>0.05</v>
      </c>
      <c r="N12" s="71">
        <v>0.05</v>
      </c>
      <c r="O12" s="71">
        <v>0.04</v>
      </c>
      <c r="P12" s="71">
        <v>0.03</v>
      </c>
      <c r="Q12" s="12">
        <v>0.02</v>
      </c>
    </row>
    <row r="13" spans="1:28" ht="16" customHeight="1" x14ac:dyDescent="0.35">
      <c r="A13" s="5"/>
      <c r="B13" s="4" t="s">
        <v>15</v>
      </c>
      <c r="C13" s="88">
        <v>0.2959</v>
      </c>
      <c r="D13" s="88">
        <v>0.2959</v>
      </c>
      <c r="E13" s="88">
        <v>0.31130000000000002</v>
      </c>
      <c r="F13" s="88">
        <v>0.31230000000000002</v>
      </c>
      <c r="G13" s="84">
        <v>0.30980000000000002</v>
      </c>
      <c r="H13" s="84">
        <v>0.31409999999999999</v>
      </c>
      <c r="I13" s="84">
        <v>0.31950000000000001</v>
      </c>
      <c r="J13" s="84">
        <v>0.32</v>
      </c>
      <c r="K13" s="84">
        <v>0.32500000000000001</v>
      </c>
      <c r="L13" s="84">
        <v>0.33</v>
      </c>
      <c r="M13" s="84">
        <v>0.33500000000000002</v>
      </c>
      <c r="N13" s="84">
        <v>0.34</v>
      </c>
      <c r="O13" s="84">
        <v>0.34499999999999997</v>
      </c>
      <c r="P13" s="84">
        <v>0.35</v>
      </c>
      <c r="Q13" s="84">
        <v>0.35</v>
      </c>
    </row>
    <row r="14" spans="1:28" ht="17.149999999999999" customHeight="1" x14ac:dyDescent="0.35">
      <c r="A14" s="5"/>
      <c r="B14" s="4" t="s">
        <v>16</v>
      </c>
      <c r="C14" s="82">
        <f t="shared" ref="C14:J14" si="2">C11*C13</f>
        <v>3477.4168</v>
      </c>
      <c r="D14" s="82">
        <f t="shared" si="2"/>
        <v>3767.6947</v>
      </c>
      <c r="E14" s="82">
        <f t="shared" si="2"/>
        <v>4810.2076000000006</v>
      </c>
      <c r="F14" s="82">
        <f t="shared" si="2"/>
        <v>5344.3899000000001</v>
      </c>
      <c r="G14" s="72">
        <f t="shared" si="2"/>
        <v>5307.580344</v>
      </c>
      <c r="H14" s="72">
        <f t="shared" si="2"/>
        <v>5685.3230759999997</v>
      </c>
      <c r="I14" s="72">
        <f t="shared" si="2"/>
        <v>6088.1779350000006</v>
      </c>
      <c r="J14" s="72">
        <f t="shared" si="2"/>
        <v>6433.0794079999996</v>
      </c>
      <c r="K14" s="72">
        <f t="shared" ref="K14:Q14" si="3">K11*K13</f>
        <v>6892.9440688062496</v>
      </c>
      <c r="L14" s="72">
        <f t="shared" si="3"/>
        <v>7383.9337770919865</v>
      </c>
      <c r="M14" s="72">
        <f t="shared" si="3"/>
        <v>7870.6021396730494</v>
      </c>
      <c r="N14" s="72">
        <f t="shared" si="3"/>
        <v>8387.4775040694894</v>
      </c>
      <c r="O14" s="72">
        <f>O11*O13</f>
        <v>8851.2556719415661</v>
      </c>
      <c r="P14" s="72">
        <f t="shared" si="3"/>
        <v>9248.9207818403902</v>
      </c>
      <c r="Q14" s="72">
        <f t="shared" si="3"/>
        <v>9433.899197477198</v>
      </c>
    </row>
    <row r="15" spans="1:28" x14ac:dyDescent="0.35">
      <c r="A15" s="100">
        <v>0.3</v>
      </c>
      <c r="B15" s="4" t="s">
        <v>39</v>
      </c>
      <c r="C15" s="82">
        <v>1409.0648000000001</v>
      </c>
      <c r="D15" s="82">
        <v>2659.9236999999998</v>
      </c>
      <c r="E15" s="82">
        <v>3249.5555999999997</v>
      </c>
      <c r="F15" s="82">
        <v>3734.0565999999999</v>
      </c>
      <c r="G15" s="72">
        <v>3703.998936</v>
      </c>
      <c r="H15" s="72">
        <v>3987.5093080000001</v>
      </c>
      <c r="I15" s="72">
        <v>4317.9377780000004</v>
      </c>
      <c r="J15" s="72">
        <v>12632.687892</v>
      </c>
      <c r="K15" s="72">
        <f t="shared" ref="K15:Q15" si="4">K14*(1-$A$15)</f>
        <v>4825.060848164374</v>
      </c>
      <c r="L15" s="72">
        <f t="shared" si="4"/>
        <v>5168.75364396439</v>
      </c>
      <c r="M15" s="72">
        <f t="shared" si="4"/>
        <v>5509.4214977711345</v>
      </c>
      <c r="N15" s="72">
        <f t="shared" si="4"/>
        <v>5871.2342528486424</v>
      </c>
      <c r="O15" s="72">
        <f>O14*(1-$A$15)</f>
        <v>6195.8789703590955</v>
      </c>
      <c r="P15" s="72">
        <f t="shared" si="4"/>
        <v>6474.2445472882728</v>
      </c>
      <c r="Q15" s="72">
        <f t="shared" si="4"/>
        <v>6603.7294382340378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0.40520446096654278</v>
      </c>
      <c r="D16" s="15">
        <f t="shared" si="5"/>
        <v>0.70598175059141599</v>
      </c>
      <c r="E16" s="15">
        <f t="shared" si="5"/>
        <v>0.67555412785094748</v>
      </c>
      <c r="F16" s="15">
        <f t="shared" si="5"/>
        <v>0.69868715978226059</v>
      </c>
      <c r="G16" s="15">
        <f t="shared" si="5"/>
        <v>0.69786959328599096</v>
      </c>
      <c r="H16" s="15">
        <f t="shared" si="5"/>
        <v>0.70136899076727166</v>
      </c>
      <c r="I16" s="15">
        <f t="shared" si="5"/>
        <v>0.7092331768388106</v>
      </c>
      <c r="J16" s="15">
        <f t="shared" si="5"/>
        <v>1.963707750333431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1.6309990911492733</v>
      </c>
      <c r="H17" s="72">
        <f>H15/H18</f>
        <v>1.7646618420150069</v>
      </c>
      <c r="I17" s="72">
        <f t="shared" ref="I17:O17" si="6">I15/I18</f>
        <v>1.9204945722841178</v>
      </c>
      <c r="J17" s="72">
        <f>J15/J18</f>
        <v>5.6468908074371189</v>
      </c>
      <c r="K17" s="72">
        <f t="shared" si="6"/>
        <v>2.167670849577628</v>
      </c>
      <c r="L17" s="72">
        <f t="shared" si="6"/>
        <v>2.3337444338011633</v>
      </c>
      <c r="M17" s="72">
        <f t="shared" si="6"/>
        <v>2.5000597063790444</v>
      </c>
      <c r="N17" s="72">
        <f t="shared" si="6"/>
        <v>2.6776308863041147</v>
      </c>
      <c r="O17" s="72">
        <f t="shared" si="6"/>
        <v>2.8398875613535801</v>
      </c>
      <c r="P17" s="72">
        <f>P15/P18</f>
        <v>2.9823886559404724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2271</v>
      </c>
      <c r="H18" s="72">
        <f>G18*0.995</f>
        <v>2259.645</v>
      </c>
      <c r="I18" s="72">
        <f t="shared" ref="I18:P18" si="7">H18*0.995</f>
        <v>2248.346775</v>
      </c>
      <c r="J18" s="72">
        <f t="shared" si="7"/>
        <v>2237.1050411249998</v>
      </c>
      <c r="K18" s="72">
        <f t="shared" si="7"/>
        <v>2225.919515919375</v>
      </c>
      <c r="L18" s="72">
        <f t="shared" si="7"/>
        <v>2214.7899183397781</v>
      </c>
      <c r="M18" s="72">
        <f t="shared" si="7"/>
        <v>2203.7159687480794</v>
      </c>
      <c r="N18" s="72">
        <f t="shared" si="7"/>
        <v>2192.6973889043388</v>
      </c>
      <c r="O18" s="72">
        <f t="shared" si="7"/>
        <v>2181.7339019598171</v>
      </c>
      <c r="P18" s="72">
        <f t="shared" si="7"/>
        <v>2170.8252324500181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3379.5610729927002</v>
      </c>
      <c r="H19" s="53">
        <f>H15/(1+$C$55)^2</f>
        <v>3319.5606019233837</v>
      </c>
      <c r="I19" s="53">
        <f>I15/(1+$C$55)^3</f>
        <v>3279.7800312350146</v>
      </c>
      <c r="J19" s="53">
        <f>J15/(1+$C$55)^4</f>
        <v>8754.9475746128355</v>
      </c>
      <c r="K19" s="53">
        <f>K15/(1+$C$55)^5</f>
        <v>3051.0549104587076</v>
      </c>
      <c r="L19" s="53">
        <f>L15/(1+$C$55)^6</f>
        <v>2982.1020973503619</v>
      </c>
      <c r="M19" s="53">
        <f>M15/(1+$C$55)^7</f>
        <v>2900.2278609350528</v>
      </c>
      <c r="N19" s="53">
        <f>N15/(1+$C$55)^8</f>
        <v>2819.9731625280906</v>
      </c>
      <c r="O19" s="53">
        <f>O15/(1+$C$55)^9</f>
        <v>2715.2382211117397</v>
      </c>
      <c r="P19" s="53">
        <f>P15/(1+$C$55)^10</f>
        <v>2588.71093491691</v>
      </c>
      <c r="Q19" s="54">
        <f>(Q15/(C55-Q12))/(1+C55)^10</f>
        <v>34743.225705463781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45150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76192.049999999988</v>
      </c>
      <c r="D49" s="47">
        <f>SUM(G19:Q19)</f>
        <v>70534.382173528575</v>
      </c>
      <c r="E49" s="46" t="s">
        <v>41</v>
      </c>
    </row>
    <row r="50" spans="1:17" x14ac:dyDescent="0.35">
      <c r="A50" s="45"/>
      <c r="B50" s="46" t="s">
        <v>11</v>
      </c>
      <c r="C50" s="56">
        <v>2271</v>
      </c>
      <c r="D50" s="56">
        <f>C50</f>
        <v>2271</v>
      </c>
      <c r="E50" s="46"/>
    </row>
    <row r="51" spans="1:17" x14ac:dyDescent="0.35">
      <c r="A51" s="45"/>
      <c r="B51" s="46" t="s">
        <v>13</v>
      </c>
      <c r="C51" s="87">
        <v>33.549999999999997</v>
      </c>
      <c r="D51" s="56">
        <f>D49/(D50)</f>
        <v>31.05873279327546</v>
      </c>
      <c r="E51" s="46" t="s">
        <v>41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8.0211489094105026E-2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58473571.131824851</v>
      </c>
      <c r="E57" s="46"/>
      <c r="F57" s="1" t="s">
        <v>23</v>
      </c>
      <c r="H57" s="1">
        <f>G15/(1+$B$57)</f>
        <v>3342.9593285198553</v>
      </c>
      <c r="I57" s="1">
        <f>H15/(1+$B$57)^2</f>
        <v>3248.0461331439215</v>
      </c>
      <c r="J57" s="1">
        <f>I15/(1+$B$57)^3</f>
        <v>3174.3667292660602</v>
      </c>
      <c r="K57" s="1">
        <f>J15/(1+$B$57)^4</f>
        <v>8381.7890190722865</v>
      </c>
      <c r="L57" s="1">
        <f>K15/(1+$B$57)^5</f>
        <v>2889.375544196902</v>
      </c>
      <c r="M57" s="1">
        <f>L15/(1+$B$57)^6</f>
        <v>2793.4909628218584</v>
      </c>
      <c r="N57" s="1">
        <f>M15/(1+$B$57)^7</f>
        <v>2687.3713110507297</v>
      </c>
      <c r="O57" s="1">
        <f>N15/(1+$B$57)^8</f>
        <v>2584.7070371386126</v>
      </c>
      <c r="P57" s="1">
        <f>O15/(1+$B$57)^9</f>
        <v>2461.7564369434431</v>
      </c>
      <c r="Q57" s="1">
        <f>(Q15/(B57-Q12))/(1+B57)^10</f>
        <v>26909.708629671186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45</v>
      </c>
      <c r="B59" s="23"/>
      <c r="C59" s="67">
        <v>26</v>
      </c>
      <c r="D59" s="23"/>
      <c r="E59" s="24"/>
    </row>
    <row r="60" spans="1:17" x14ac:dyDescent="0.35">
      <c r="A60" s="25" t="s">
        <v>21</v>
      </c>
      <c r="C60" s="68" t="s">
        <v>40</v>
      </c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77.542105054452279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0.55000000000000004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14.555435623432839</v>
      </c>
    </row>
    <row r="67" spans="1:5" x14ac:dyDescent="0.35">
      <c r="A67" s="25"/>
      <c r="E67" s="61"/>
    </row>
    <row r="68" spans="1:5" x14ac:dyDescent="0.35">
      <c r="A68" s="103" t="s">
        <v>42</v>
      </c>
      <c r="E68" s="104">
        <f>(E66*0.25)*-1</f>
        <v>-3.6388589058582097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46</v>
      </c>
      <c r="E70" s="60">
        <f>SUM(E62:E68)</f>
        <v>88.458681772026907</v>
      </c>
    </row>
    <row r="71" spans="1:5" x14ac:dyDescent="0.35">
      <c r="A71" s="25"/>
      <c r="E71" s="60"/>
    </row>
    <row r="72" spans="1:5" x14ac:dyDescent="0.35">
      <c r="A72" s="25" t="s">
        <v>47</v>
      </c>
      <c r="E72" s="62">
        <f>E70/C51-1</f>
        <v>1.6366224075119797</v>
      </c>
    </row>
    <row r="73" spans="1:5" x14ac:dyDescent="0.35">
      <c r="A73" s="25"/>
      <c r="E73" s="26"/>
    </row>
    <row r="74" spans="1:5" ht="16" thickBot="1" x14ac:dyDescent="0.4">
      <c r="A74" s="63" t="s">
        <v>48</v>
      </c>
      <c r="B74" s="64"/>
      <c r="C74" s="64"/>
      <c r="D74" s="64"/>
      <c r="E74" s="102">
        <f>(E70/C51)^(1/10)-1</f>
        <v>0.10180513951013292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L2:L5">
    <cfRule type="top10" dxfId="6" priority="3" percent="1" rank="10"/>
  </conditionalFormatting>
  <conditionalFormatting sqref="L6:L8">
    <cfRule type="top10" dxfId="5" priority="6" percent="1" rank="10"/>
  </conditionalFormatting>
  <conditionalFormatting sqref="L9">
    <cfRule type="top10" dxfId="4" priority="4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opLeftCell="A24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43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2020</v>
      </c>
      <c r="D10" s="11">
        <v>2021</v>
      </c>
      <c r="E10" s="11">
        <v>2022</v>
      </c>
      <c r="F10" s="11">
        <v>2023</v>
      </c>
      <c r="G10" s="55">
        <v>2024</v>
      </c>
      <c r="H10" s="55">
        <v>2025</v>
      </c>
      <c r="I10" s="55">
        <v>2026</v>
      </c>
      <c r="J10" s="55">
        <v>2027</v>
      </c>
      <c r="K10" s="55">
        <v>2028</v>
      </c>
      <c r="L10" s="55">
        <v>2029</v>
      </c>
      <c r="M10" s="55">
        <v>2030</v>
      </c>
      <c r="N10" s="55">
        <v>2031</v>
      </c>
      <c r="O10" s="55">
        <v>2032</v>
      </c>
      <c r="P10" s="55">
        <v>2033</v>
      </c>
      <c r="Q10" s="55" t="s">
        <v>44</v>
      </c>
    </row>
    <row r="11" spans="1:28" x14ac:dyDescent="0.35">
      <c r="A11" s="5"/>
      <c r="B11" s="4" t="s">
        <v>4</v>
      </c>
      <c r="C11" s="82">
        <v>11752</v>
      </c>
      <c r="D11" s="82">
        <v>12733</v>
      </c>
      <c r="E11" s="82">
        <v>15452</v>
      </c>
      <c r="F11" s="82">
        <v>17113</v>
      </c>
      <c r="G11" s="72">
        <f t="shared" ref="G11:I11" si="0">F11*(1+G12)</f>
        <v>18139.780000000002</v>
      </c>
      <c r="H11" s="72">
        <f t="shared" si="0"/>
        <v>19228.166800000003</v>
      </c>
      <c r="I11" s="72">
        <f t="shared" si="0"/>
        <v>20381.856808000004</v>
      </c>
      <c r="J11" s="72">
        <f>I11*(1+J12)</f>
        <v>21604.768216480006</v>
      </c>
      <c r="K11" s="72">
        <f>J11*(1+K12)</f>
        <v>22901.054309468807</v>
      </c>
      <c r="L11" s="72">
        <f t="shared" ref="L11:Q11" si="1">K11*(1+L12)</f>
        <v>24275.117568036938</v>
      </c>
      <c r="M11" s="72">
        <f t="shared" si="1"/>
        <v>25731.624622119154</v>
      </c>
      <c r="N11" s="72">
        <f t="shared" si="1"/>
        <v>27275.522099446305</v>
      </c>
      <c r="O11" s="72">
        <f t="shared" si="1"/>
        <v>28912.053425413083</v>
      </c>
      <c r="P11" s="72">
        <f t="shared" si="1"/>
        <v>29490.294493921345</v>
      </c>
      <c r="Q11" s="72">
        <f t="shared" si="1"/>
        <v>30080.10038379977</v>
      </c>
    </row>
    <row r="12" spans="1:28" x14ac:dyDescent="0.35">
      <c r="A12" s="5"/>
      <c r="B12" s="4" t="s">
        <v>1</v>
      </c>
      <c r="C12" s="86"/>
      <c r="D12" s="89">
        <f>D11/C11-1</f>
        <v>8.3475153165418758E-2</v>
      </c>
      <c r="E12" s="89">
        <f>E11/D11-1</f>
        <v>0.21353962145605898</v>
      </c>
      <c r="F12" s="89">
        <f>F11/E11-1</f>
        <v>0.10749417551126061</v>
      </c>
      <c r="G12" s="85">
        <v>0.06</v>
      </c>
      <c r="H12" s="85">
        <f t="shared" ref="H12:O12" si="2">G12</f>
        <v>0.06</v>
      </c>
      <c r="I12" s="85">
        <f t="shared" si="2"/>
        <v>0.06</v>
      </c>
      <c r="J12" s="85">
        <f t="shared" si="2"/>
        <v>0.06</v>
      </c>
      <c r="K12" s="85">
        <f t="shared" si="2"/>
        <v>0.06</v>
      </c>
      <c r="L12" s="85">
        <f t="shared" si="2"/>
        <v>0.06</v>
      </c>
      <c r="M12" s="85">
        <f t="shared" si="2"/>
        <v>0.06</v>
      </c>
      <c r="N12" s="85">
        <f t="shared" si="2"/>
        <v>0.06</v>
      </c>
      <c r="O12" s="85">
        <f t="shared" si="2"/>
        <v>0.06</v>
      </c>
      <c r="P12" s="85">
        <v>0.02</v>
      </c>
      <c r="Q12" s="85">
        <v>0.02</v>
      </c>
    </row>
    <row r="13" spans="1:28" ht="16" customHeight="1" x14ac:dyDescent="0.35">
      <c r="A13" s="5"/>
      <c r="B13" s="4" t="s">
        <v>15</v>
      </c>
      <c r="C13" s="88">
        <v>0.2959</v>
      </c>
      <c r="D13" s="88">
        <v>0.2959</v>
      </c>
      <c r="E13" s="88">
        <v>0.31130000000000002</v>
      </c>
      <c r="F13" s="88">
        <v>0.31230000000000002</v>
      </c>
      <c r="G13" s="84">
        <v>0.30980000000000002</v>
      </c>
      <c r="H13" s="84">
        <v>0.31409999999999999</v>
      </c>
      <c r="I13" s="84">
        <v>0.31950000000000001</v>
      </c>
      <c r="J13" s="84">
        <v>0.32</v>
      </c>
      <c r="K13" s="84">
        <v>0.32500000000000001</v>
      </c>
      <c r="L13" s="84">
        <v>0.33</v>
      </c>
      <c r="M13" s="84">
        <v>0.33500000000000002</v>
      </c>
      <c r="N13" s="84">
        <v>0.34</v>
      </c>
      <c r="O13" s="84">
        <v>0.34499999999999997</v>
      </c>
      <c r="P13" s="84">
        <v>0.35</v>
      </c>
      <c r="Q13" s="84">
        <v>0.35</v>
      </c>
    </row>
    <row r="14" spans="1:28" ht="17.149999999999999" customHeight="1" x14ac:dyDescent="0.35">
      <c r="A14" s="5"/>
      <c r="B14" s="4" t="s">
        <v>16</v>
      </c>
      <c r="C14" s="82">
        <f t="shared" ref="C14:J14" si="3">C11*C13</f>
        <v>3477.4168</v>
      </c>
      <c r="D14" s="82">
        <f t="shared" si="3"/>
        <v>3767.6947</v>
      </c>
      <c r="E14" s="82">
        <f t="shared" si="3"/>
        <v>4810.2076000000006</v>
      </c>
      <c r="F14" s="82">
        <f t="shared" si="3"/>
        <v>5344.3899000000001</v>
      </c>
      <c r="G14" s="72">
        <f t="shared" si="3"/>
        <v>5619.7038440000015</v>
      </c>
      <c r="H14" s="72">
        <f t="shared" si="3"/>
        <v>6039.5671918800008</v>
      </c>
      <c r="I14" s="72">
        <f t="shared" si="3"/>
        <v>6512.0032501560017</v>
      </c>
      <c r="J14" s="72">
        <f t="shared" si="3"/>
        <v>6913.5258292736025</v>
      </c>
      <c r="K14" s="72">
        <f t="shared" ref="K14:Q14" si="4">K11*K13</f>
        <v>7442.8426505773623</v>
      </c>
      <c r="L14" s="72">
        <f t="shared" si="4"/>
        <v>8010.78879745219</v>
      </c>
      <c r="M14" s="72">
        <f t="shared" si="4"/>
        <v>8620.0942484099178</v>
      </c>
      <c r="N14" s="72">
        <f t="shared" si="4"/>
        <v>9273.6775138117446</v>
      </c>
      <c r="O14" s="72">
        <f>O11*O13</f>
        <v>9974.6584317675133</v>
      </c>
      <c r="P14" s="72">
        <f t="shared" si="4"/>
        <v>10321.603072872471</v>
      </c>
      <c r="Q14" s="72">
        <f t="shared" si="4"/>
        <v>10528.035134329919</v>
      </c>
    </row>
    <row r="15" spans="1:28" x14ac:dyDescent="0.35">
      <c r="A15" s="100">
        <v>0.3</v>
      </c>
      <c r="B15" s="4" t="s">
        <v>39</v>
      </c>
      <c r="C15" s="82">
        <v>1409.0648000000001</v>
      </c>
      <c r="D15" s="82">
        <v>2659.9236999999998</v>
      </c>
      <c r="E15" s="82">
        <v>3249.5555999999997</v>
      </c>
      <c r="F15" s="82">
        <v>3734.0565999999999</v>
      </c>
      <c r="G15" s="72">
        <v>3703.998936</v>
      </c>
      <c r="H15" s="72">
        <v>3987.5093080000001</v>
      </c>
      <c r="I15" s="72">
        <v>4317.9377780000004</v>
      </c>
      <c r="J15" s="72">
        <v>12632.687892</v>
      </c>
      <c r="K15" s="72">
        <f>K14*(1-$A$15)</f>
        <v>5209.9898554041529</v>
      </c>
      <c r="L15" s="72">
        <f t="shared" ref="L15:Q15" si="5">L14*(1-$A$15)</f>
        <v>5607.5521582165329</v>
      </c>
      <c r="M15" s="72">
        <f t="shared" si="5"/>
        <v>6034.0659738869417</v>
      </c>
      <c r="N15" s="72">
        <f t="shared" si="5"/>
        <v>6491.5742596682212</v>
      </c>
      <c r="O15" s="72">
        <f>O14*(1-$A$15)</f>
        <v>6982.260902237259</v>
      </c>
      <c r="P15" s="72">
        <f t="shared" si="5"/>
        <v>7225.1221510107289</v>
      </c>
      <c r="Q15" s="72">
        <f t="shared" si="5"/>
        <v>7369.6245940309427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0.40520446096654278</v>
      </c>
      <c r="D16" s="15">
        <f t="shared" si="6"/>
        <v>0.70598175059141599</v>
      </c>
      <c r="E16" s="15">
        <f t="shared" si="6"/>
        <v>0.67555412785094748</v>
      </c>
      <c r="F16" s="15">
        <f t="shared" si="6"/>
        <v>0.69868715978226059</v>
      </c>
      <c r="G16" s="15">
        <f t="shared" si="6"/>
        <v>0.65910927672009878</v>
      </c>
      <c r="H16" s="15">
        <f t="shared" si="6"/>
        <v>0.66023097041805834</v>
      </c>
      <c r="I16" s="15">
        <f t="shared" si="6"/>
        <v>0.66307365216633762</v>
      </c>
      <c r="J16" s="15">
        <f t="shared" si="6"/>
        <v>1.8272424525428155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1.6309990911492733</v>
      </c>
      <c r="H17" s="72">
        <f t="shared" ref="H17:O17" si="7">H15/H18</f>
        <v>1.7646618420150069</v>
      </c>
      <c r="I17" s="72">
        <f t="shared" si="7"/>
        <v>1.9204945722841178</v>
      </c>
      <c r="J17" s="72">
        <f t="shared" si="7"/>
        <v>5.6468908074371189</v>
      </c>
      <c r="K17" s="72">
        <f t="shared" si="7"/>
        <v>2.340601184428837</v>
      </c>
      <c r="L17" s="72">
        <f t="shared" si="7"/>
        <v>2.5318663913821644</v>
      </c>
      <c r="M17" s="72">
        <f t="shared" si="7"/>
        <v>2.7381323453016799</v>
      </c>
      <c r="N17" s="72">
        <f t="shared" si="7"/>
        <v>2.9605427053078093</v>
      </c>
      <c r="O17" s="72">
        <f t="shared" si="7"/>
        <v>3.2003265365978888</v>
      </c>
      <c r="P17" s="72">
        <f>P15/P18</f>
        <v>3.3282836605212909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2271</v>
      </c>
      <c r="H18" s="72">
        <f>G18*0.995</f>
        <v>2259.645</v>
      </c>
      <c r="I18" s="72">
        <f t="shared" ref="I18:P18" si="8">H18*0.995</f>
        <v>2248.346775</v>
      </c>
      <c r="J18" s="72">
        <f t="shared" si="8"/>
        <v>2237.1050411249998</v>
      </c>
      <c r="K18" s="72">
        <f t="shared" si="8"/>
        <v>2225.919515919375</v>
      </c>
      <c r="L18" s="72">
        <f t="shared" si="8"/>
        <v>2214.7899183397781</v>
      </c>
      <c r="M18" s="72">
        <f t="shared" si="8"/>
        <v>2203.7159687480794</v>
      </c>
      <c r="N18" s="72">
        <f t="shared" si="8"/>
        <v>2192.6973889043388</v>
      </c>
      <c r="O18" s="72">
        <f t="shared" si="8"/>
        <v>2181.7339019598171</v>
      </c>
      <c r="P18" s="72">
        <f t="shared" si="8"/>
        <v>2170.8252324500181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3379.5610729927002</v>
      </c>
      <c r="H19" s="53">
        <f>H15/(1+$C$55)^2</f>
        <v>3319.5606019233837</v>
      </c>
      <c r="I19" s="53">
        <f>I15/(1+$C$55)^3</f>
        <v>3279.7800312350146</v>
      </c>
      <c r="J19" s="53">
        <f>J15/(1+$C$55)^4</f>
        <v>8754.9475746128355</v>
      </c>
      <c r="K19" s="53">
        <f>K15/(1+$C$55)^5</f>
        <v>3294.458998961285</v>
      </c>
      <c r="L19" s="53">
        <f>L15/(1+$C$55)^6</f>
        <v>3235.2660242466532</v>
      </c>
      <c r="M19" s="53">
        <f>M15/(1+$C$55)^7</f>
        <v>3176.4072251990333</v>
      </c>
      <c r="N19" s="53">
        <f>N15/(1+$C$55)^8</f>
        <v>3117.9245123698975</v>
      </c>
      <c r="O19" s="53">
        <f>O15/(1+$C$55)^9</f>
        <v>3059.8566825184394</v>
      </c>
      <c r="P19" s="53">
        <f>P15/(1+$C$55)^10</f>
        <v>2888.9475184044286</v>
      </c>
      <c r="Q19" s="54">
        <f>(Q15/(C55-Q12))/(1+C55)^10</f>
        <v>38772.716694375216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45150</v>
      </c>
      <c r="D48" s="18" t="s">
        <v>3</v>
      </c>
      <c r="E48" s="19"/>
      <c r="F48" s="20"/>
      <c r="G48" s="21"/>
      <c r="H48" s="21"/>
      <c r="I48" s="21"/>
    </row>
    <row r="49" spans="1:20" x14ac:dyDescent="0.35">
      <c r="A49" s="45" t="s">
        <v>0</v>
      </c>
      <c r="B49" s="46" t="s">
        <v>5</v>
      </c>
      <c r="C49" s="56">
        <f>C50*C51</f>
        <v>76192.049999999988</v>
      </c>
      <c r="D49" s="47">
        <f>SUM(G19:Q19)</f>
        <v>76279.426936838892</v>
      </c>
      <c r="E49" s="46" t="s">
        <v>41</v>
      </c>
    </row>
    <row r="50" spans="1:20" x14ac:dyDescent="0.35">
      <c r="A50" s="45"/>
      <c r="B50" s="46" t="s">
        <v>11</v>
      </c>
      <c r="C50" s="56">
        <v>2271</v>
      </c>
      <c r="D50" s="56">
        <f>C50</f>
        <v>2271</v>
      </c>
      <c r="E50" s="46"/>
    </row>
    <row r="51" spans="1:20" x14ac:dyDescent="0.35">
      <c r="A51" s="45"/>
      <c r="B51" s="46" t="s">
        <v>13</v>
      </c>
      <c r="C51" s="87">
        <v>33.549999999999997</v>
      </c>
      <c r="D51" s="87">
        <f>D49/(D50)</f>
        <v>33.588475093280003</v>
      </c>
      <c r="E51" s="46" t="s">
        <v>41</v>
      </c>
    </row>
    <row r="52" spans="1:20" x14ac:dyDescent="0.35">
      <c r="A52" s="45"/>
      <c r="B52" s="46" t="s">
        <v>2</v>
      </c>
      <c r="C52" s="46"/>
      <c r="D52" s="57">
        <f>IF(C51/D51-1&gt;0,0,C51/D51-1)*-1</f>
        <v>1.1454849668868228E-3</v>
      </c>
      <c r="E52" s="46"/>
    </row>
    <row r="53" spans="1:20" x14ac:dyDescent="0.35">
      <c r="A53" s="45"/>
      <c r="B53" s="46" t="s">
        <v>14</v>
      </c>
      <c r="C53" s="46"/>
      <c r="D53" s="58">
        <f>IF(C51/D51-1&lt;0,0,C51/D51-1)</f>
        <v>0</v>
      </c>
      <c r="E53" s="46"/>
    </row>
    <row r="54" spans="1:20" x14ac:dyDescent="0.35">
      <c r="A54" s="46"/>
      <c r="B54" s="46"/>
      <c r="C54" s="46"/>
      <c r="D54" s="48"/>
      <c r="E54" s="48"/>
    </row>
    <row r="55" spans="1:20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20" x14ac:dyDescent="0.35">
      <c r="A56" s="48"/>
      <c r="B56" s="46"/>
      <c r="C56" s="50"/>
      <c r="D56" s="49"/>
      <c r="E56" s="46"/>
    </row>
    <row r="57" spans="1:20" hidden="1" x14ac:dyDescent="0.35">
      <c r="A57" s="48" t="s">
        <v>22</v>
      </c>
      <c r="B57" s="73">
        <v>0.108</v>
      </c>
      <c r="C57" s="50"/>
      <c r="D57" s="74">
        <f>SUM(H57:Q57)*1000</f>
        <v>62903644.824575536</v>
      </c>
      <c r="E57" s="46"/>
      <c r="F57" s="1" t="s">
        <v>23</v>
      </c>
      <c r="H57" s="1">
        <f>G15/(1+$B$57)</f>
        <v>3342.9593285198553</v>
      </c>
      <c r="I57" s="1">
        <f>H15/(1+$B$57)^2</f>
        <v>3248.0461331439215</v>
      </c>
      <c r="J57" s="1">
        <f>I15/(1+$B$57)^3</f>
        <v>3174.3667292660602</v>
      </c>
      <c r="K57" s="1">
        <f>J15/(1+$B$57)^4</f>
        <v>8381.7890190722865</v>
      </c>
      <c r="L57" s="1">
        <f>K15/(1+$B$57)^5</f>
        <v>3119.8813336096368</v>
      </c>
      <c r="M57" s="1">
        <f>L15/(1+$B$57)^6</f>
        <v>3030.6428505877566</v>
      </c>
      <c r="N57" s="1">
        <f>M15/(1+$B$57)^7</f>
        <v>2943.2810311883609</v>
      </c>
      <c r="O57" s="1">
        <f>N15/(1+$B$57)^8</f>
        <v>2857.8007533818768</v>
      </c>
      <c r="P57" s="1">
        <f>O15/(1+$B$57)^9</f>
        <v>2774.2029504983857</v>
      </c>
      <c r="Q57" s="1">
        <f>(Q15/(B57-Q12))/(1+B57)^10</f>
        <v>30030.674695307396</v>
      </c>
    </row>
    <row r="58" spans="1:20" ht="16" thickBot="1" x14ac:dyDescent="0.4">
      <c r="A58" s="22"/>
      <c r="C58" s="65"/>
      <c r="D58" s="66"/>
    </row>
    <row r="59" spans="1:20" x14ac:dyDescent="0.35">
      <c r="A59" s="59" t="s">
        <v>45</v>
      </c>
      <c r="B59" s="23"/>
      <c r="C59" s="67">
        <v>23</v>
      </c>
      <c r="D59" s="23"/>
      <c r="E59" s="24"/>
    </row>
    <row r="60" spans="1:20" x14ac:dyDescent="0.35">
      <c r="A60" s="25" t="s">
        <v>21</v>
      </c>
      <c r="C60" s="68"/>
      <c r="D60" s="68"/>
      <c r="E60" s="2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35">
      <c r="A61" s="25"/>
      <c r="C61" s="68"/>
      <c r="E61" s="26"/>
    </row>
    <row r="62" spans="1:20" x14ac:dyDescent="0.35">
      <c r="A62" s="25" t="s">
        <v>37</v>
      </c>
      <c r="C62" s="68"/>
      <c r="E62" s="60">
        <f>P17*C59</f>
        <v>76.550524191989695</v>
      </c>
    </row>
    <row r="63" spans="1:20" x14ac:dyDescent="0.35">
      <c r="A63" s="25"/>
      <c r="C63" s="68"/>
      <c r="E63" s="26"/>
    </row>
    <row r="64" spans="1:20" x14ac:dyDescent="0.35">
      <c r="A64" s="25" t="s">
        <v>17</v>
      </c>
      <c r="C64" s="69">
        <v>0.55000000000000004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15.434539525033854</v>
      </c>
    </row>
    <row r="67" spans="1:5" x14ac:dyDescent="0.35">
      <c r="A67" s="25"/>
      <c r="E67" s="61"/>
    </row>
    <row r="68" spans="1:5" x14ac:dyDescent="0.35">
      <c r="A68" s="103" t="s">
        <v>42</v>
      </c>
      <c r="E68" s="104">
        <f>(E66*0.25)*-1</f>
        <v>-3.8586348812584634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46</v>
      </c>
      <c r="E70" s="60">
        <f>SUM(E62:E68)</f>
        <v>88.126428835765083</v>
      </c>
    </row>
    <row r="71" spans="1:5" x14ac:dyDescent="0.35">
      <c r="A71" s="25"/>
      <c r="E71" s="60"/>
    </row>
    <row r="72" spans="1:5" x14ac:dyDescent="0.35">
      <c r="A72" s="25" t="s">
        <v>47</v>
      </c>
      <c r="E72" s="62">
        <f>E70/C51-1</f>
        <v>1.6267191903357703</v>
      </c>
    </row>
    <row r="73" spans="1:5" x14ac:dyDescent="0.35">
      <c r="A73" s="25"/>
      <c r="E73" s="26"/>
    </row>
    <row r="74" spans="1:5" ht="16" thickBot="1" x14ac:dyDescent="0.4">
      <c r="A74" s="63" t="s">
        <v>48</v>
      </c>
      <c r="B74" s="64"/>
      <c r="C74" s="64"/>
      <c r="D74" s="64"/>
      <c r="E74" s="102">
        <f>(E70/C51)^(1/10)-1</f>
        <v>0.10139059770333714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2023-08-11T23:22:06Z</dcterms:modified>
</cp:coreProperties>
</file>