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99457395-935C-4F5D-A7C0-8BDB8AFFC6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32" l="1"/>
  <c r="J12" i="32"/>
  <c r="J12" i="34" l="1"/>
  <c r="G11" i="35" l="1"/>
  <c r="H12" i="35" l="1"/>
  <c r="H11" i="35" s="1"/>
  <c r="H12" i="34" l="1"/>
  <c r="I12" i="34"/>
  <c r="H12" i="32"/>
  <c r="I12" i="35" l="1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J12" i="35" l="1"/>
  <c r="K12" i="35" s="1"/>
  <c r="L12" i="35" s="1"/>
  <c r="M12" i="35" s="1"/>
  <c r="N12" i="35" s="1"/>
  <c r="O12" i="35" s="1"/>
  <c r="I11" i="35"/>
  <c r="J11" i="35" l="1"/>
  <c r="K11" i="35" s="1"/>
  <c r="L11" i="35" s="1"/>
  <c r="D14" i="34"/>
  <c r="E14" i="34"/>
  <c r="F14" i="34"/>
  <c r="G14" i="34"/>
  <c r="H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G12" i="34" l="1"/>
  <c r="E12" i="34"/>
  <c r="F12" i="34"/>
  <c r="D12" i="34"/>
  <c r="D12" i="32" l="1"/>
  <c r="E12" i="32"/>
  <c r="F12" i="32"/>
  <c r="G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H17" i="32" l="1"/>
  <c r="G17" i="32"/>
  <c r="I17" i="32" l="1"/>
  <c r="H14" i="35" l="1"/>
  <c r="G14" i="35"/>
  <c r="I14" i="35" l="1"/>
  <c r="I57" i="35" l="1"/>
  <c r="H19" i="35"/>
  <c r="H17" i="35"/>
  <c r="H16" i="35"/>
  <c r="H57" i="35"/>
  <c r="G19" i="35"/>
  <c r="G17" i="35"/>
  <c r="G16" i="35"/>
  <c r="J14" i="35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I14" i="34" l="1"/>
  <c r="I19" i="34" l="1"/>
  <c r="I17" i="34"/>
  <c r="J57" i="34"/>
  <c r="I16" i="34"/>
  <c r="J14" i="34"/>
  <c r="K11" i="34" l="1"/>
  <c r="J19" i="34" l="1"/>
  <c r="K57" i="34"/>
  <c r="J17" i="34"/>
  <c r="J16" i="34"/>
  <c r="L11" i="34"/>
  <c r="K14" i="34"/>
  <c r="K15" i="34" s="1"/>
  <c r="K17" i="34" l="1"/>
  <c r="L57" i="34"/>
  <c r="K19" i="34"/>
  <c r="M11" i="34"/>
  <c r="L14" i="34"/>
  <c r="L15" i="34" s="1"/>
  <c r="L19" i="34" l="1"/>
  <c r="L17" i="34"/>
  <c r="M57" i="34"/>
  <c r="M14" i="34"/>
  <c r="M15" i="34" s="1"/>
  <c r="N11" i="34"/>
  <c r="N14" i="34" l="1"/>
  <c r="N15" i="34" s="1"/>
  <c r="O11" i="34"/>
  <c r="M19" i="34"/>
  <c r="N57" i="34"/>
  <c r="M17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P57" i="34"/>
  <c r="O17" i="34"/>
  <c r="O19" i="34"/>
  <c r="D44" i="34" l="1"/>
  <c r="D41" i="34"/>
  <c r="D43" i="34"/>
  <c r="D42" i="34"/>
  <c r="P17" i="34"/>
  <c r="P19" i="34"/>
  <c r="D40" i="34"/>
  <c r="Q19" i="34"/>
  <c r="Q57" i="34"/>
  <c r="D57" i="34" s="1"/>
  <c r="D49" i="34" l="1"/>
  <c r="D51" i="34" s="1"/>
  <c r="D52" i="34" s="1"/>
  <c r="E62" i="34"/>
  <c r="E66" i="34"/>
  <c r="E68" i="34" s="1"/>
  <c r="D53" i="34" l="1"/>
  <c r="E70" i="34"/>
  <c r="E72" i="34" s="1"/>
  <c r="J14" i="32"/>
  <c r="E74" i="34" l="1"/>
  <c r="K11" i="32"/>
  <c r="J19" i="32" l="1"/>
  <c r="K57" i="32"/>
  <c r="J17" i="32"/>
  <c r="J16" i="32"/>
  <c r="L11" i="32"/>
  <c r="K14" i="32"/>
  <c r="K15" i="32" s="1"/>
  <c r="K19" i="32" l="1"/>
  <c r="L57" i="32"/>
  <c r="K17" i="32"/>
  <c r="M11" i="32"/>
  <c r="L14" i="32"/>
  <c r="L15" i="32" s="1"/>
  <c r="M57" i="32" l="1"/>
  <c r="L17" i="32"/>
  <c r="L19" i="32"/>
  <c r="M14" i="32"/>
  <c r="M15" i="32" s="1"/>
  <c r="N11" i="32"/>
  <c r="M17" i="32" l="1"/>
  <c r="N57" i="32"/>
  <c r="M19" i="32"/>
  <c r="N14" i="32"/>
  <c r="N15" i="32" s="1"/>
  <c r="O11" i="32"/>
  <c r="O57" i="32" l="1"/>
  <c r="N17" i="32"/>
  <c r="N19" i="32"/>
  <c r="O14" i="32"/>
  <c r="O15" i="32" s="1"/>
  <c r="P11" i="32"/>
  <c r="Q11" i="32" l="1"/>
  <c r="Q14" i="32" s="1"/>
  <c r="Q15" i="32" s="1"/>
  <c r="P14" i="32"/>
  <c r="P15" i="32" s="1"/>
  <c r="O19" i="32"/>
  <c r="P57" i="32"/>
  <c r="O17" i="32"/>
  <c r="D40" i="32" l="1"/>
  <c r="D41" i="32"/>
  <c r="P19" i="32"/>
  <c r="P17" i="32"/>
  <c r="D44" i="32"/>
  <c r="Q19" i="32"/>
  <c r="Q57" i="32"/>
  <c r="D57" i="32" s="1"/>
  <c r="D43" i="32"/>
  <c r="D42" i="32"/>
  <c r="D49" i="32" l="1"/>
  <c r="D51" i="32" s="1"/>
  <c r="E62" i="32"/>
  <c r="E66" i="32"/>
  <c r="E68" i="32" s="1"/>
  <c r="E70" i="32" l="1"/>
  <c r="D52" i="32"/>
  <c r="D53" i="32"/>
  <c r="E72" i="32" l="1"/>
  <c r="E74" i="32"/>
</calcChain>
</file>

<file path=xl/sharedStrings.xml><?xml version="1.0" encoding="utf-8"?>
<sst xmlns="http://schemas.openxmlformats.org/spreadsheetml/2006/main" count="148" uniqueCount="49">
  <si>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</si>
  <si>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</si>
  <si>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</si>
  <si>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</si>
  <si>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</si>
  <si>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</si>
  <si>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</si>
  <si>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</si>
  <si>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</si>
  <si>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</si>
  <si>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</si>
  <si>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</si>
  <si>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</si>
  <si>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</si>
  <si>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</si>
  <si>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</si>
  <si>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</si>
  <si>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</si>
  <si>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</si>
  <si>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</si>
  <si>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</si>
  <si>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</si>
  <si>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</si>
  <si>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</si>
  <si>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</si>
  <si>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</si>
  <si>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</si>
  <si>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</si>
  <si>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</si>
  <si>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</si>
  <si>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</si>
  <si>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</si>
  <si>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</si>
  <si>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</si>
  <si>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</si>
  <si>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</si>
  <si>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</si>
  <si>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</si>
  <si>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</si>
  <si>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</si>
  <si>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</si>
  <si>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 xml:space="preserve"> Annahmen für Iridium Communications</t>
  </si>
  <si>
    <t>USD</t>
  </si>
  <si>
    <t>2033ff.</t>
  </si>
  <si>
    <t>KGV Multiple in 2032</t>
  </si>
  <si>
    <t>Quellensteuer USA (25 %)</t>
  </si>
  <si>
    <t>Gesamtwert 2032</t>
  </si>
  <si>
    <t>Steigerung Gesamt bis 2032 in Prozent</t>
  </si>
  <si>
    <t>Renditeerwartung bis 2032 pro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</si>
</sst>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  <xf numFmtId="4" fontId="13" fillId="2" borderId="8" xfId="0" quotePrefix="1" applyNumberFormat="1" applyFont="1" applyFill="1" applyBorder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zoomScaleNormal="100" workbookViewId="0">
      <selection activeCell="C48" sqref="C48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41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43</v>
      </c>
    </row>
    <row r="11" spans="1:28" x14ac:dyDescent="0.35">
      <c r="A11" s="5"/>
      <c r="B11" s="4" t="s">
        <v>4</v>
      </c>
      <c r="C11" s="82">
        <v>560.44000000000005</v>
      </c>
      <c r="D11" s="82">
        <v>583.44000000000005</v>
      </c>
      <c r="E11" s="82">
        <v>614.5</v>
      </c>
      <c r="F11" s="82">
        <v>721.03</v>
      </c>
      <c r="G11" s="72">
        <v>802.8</v>
      </c>
      <c r="H11" s="72">
        <v>833.1</v>
      </c>
      <c r="I11" s="72">
        <v>879.17</v>
      </c>
      <c r="J11" s="72">
        <v>973</v>
      </c>
      <c r="K11" s="72">
        <f>J11*(1+K12)</f>
        <v>1070.3000000000002</v>
      </c>
      <c r="L11" s="72">
        <f t="shared" ref="L11:Q11" si="0">K11*(1+L12)</f>
        <v>1166.6270000000002</v>
      </c>
      <c r="M11" s="72">
        <f t="shared" si="0"/>
        <v>1259.9571600000004</v>
      </c>
      <c r="N11" s="72">
        <f t="shared" si="0"/>
        <v>1335.5545896000006</v>
      </c>
      <c r="O11" s="72">
        <f t="shared" si="0"/>
        <v>1388.9767731840006</v>
      </c>
      <c r="P11" s="72">
        <f t="shared" si="0"/>
        <v>1416.7563086476807</v>
      </c>
      <c r="Q11" s="72">
        <f t="shared" si="0"/>
        <v>1438.0076532773958</v>
      </c>
    </row>
    <row r="12" spans="1:28" x14ac:dyDescent="0.35">
      <c r="A12" s="5"/>
      <c r="B12" s="4" t="s">
        <v>1</v>
      </c>
      <c r="C12" s="86"/>
      <c r="D12" s="89">
        <f t="shared" ref="D12:J12" si="1">D11/C11-1</f>
        <v>4.1039183498679632E-2</v>
      </c>
      <c r="E12" s="89">
        <f t="shared" si="1"/>
        <v>5.3235979706567793E-2</v>
      </c>
      <c r="F12" s="89">
        <f t="shared" si="1"/>
        <v>0.17336045565500413</v>
      </c>
      <c r="G12" s="85">
        <f t="shared" si="1"/>
        <v>0.11340720913138158</v>
      </c>
      <c r="H12" s="85">
        <f t="shared" si="1"/>
        <v>3.7742899850523148E-2</v>
      </c>
      <c r="I12" s="85">
        <f t="shared" si="1"/>
        <v>5.5299483855479448E-2</v>
      </c>
      <c r="J12" s="85">
        <f t="shared" si="1"/>
        <v>0.10672566170365227</v>
      </c>
      <c r="K12" s="71">
        <v>0.1</v>
      </c>
      <c r="L12" s="71">
        <v>0.09</v>
      </c>
      <c r="M12" s="71">
        <v>0.08</v>
      </c>
      <c r="N12" s="71">
        <v>0.06</v>
      </c>
      <c r="O12" s="71">
        <v>0.04</v>
      </c>
      <c r="P12" s="71">
        <v>0.02</v>
      </c>
      <c r="Q12" s="12">
        <v>1.4999999999999999E-2</v>
      </c>
    </row>
    <row r="13" spans="1:28" ht="16" customHeight="1" x14ac:dyDescent="0.35">
      <c r="A13" s="5"/>
      <c r="B13" s="4" t="s">
        <v>15</v>
      </c>
      <c r="C13" s="88">
        <v>1.8100000000000002E-2</v>
      </c>
      <c r="D13" s="88">
        <v>6.8000000000000005E-2</v>
      </c>
      <c r="E13" s="88">
        <v>7.5399999999999995E-2</v>
      </c>
      <c r="F13" s="88">
        <v>0.10630000000000001</v>
      </c>
      <c r="G13" s="84">
        <v>8.8599999999999998E-2</v>
      </c>
      <c r="H13" s="84">
        <v>0.16189999999999999</v>
      </c>
      <c r="I13" s="84">
        <v>0.21679999999999999</v>
      </c>
      <c r="J13" s="84">
        <v>0.24</v>
      </c>
      <c r="K13" s="84">
        <v>0.255</v>
      </c>
      <c r="L13" s="84">
        <v>0.27</v>
      </c>
      <c r="M13" s="84">
        <v>0.28999999999999998</v>
      </c>
      <c r="N13" s="84">
        <v>0.31</v>
      </c>
      <c r="O13" s="84">
        <v>0.33</v>
      </c>
      <c r="P13" s="84">
        <v>0.35</v>
      </c>
      <c r="Q13" s="84">
        <v>0.35</v>
      </c>
    </row>
    <row r="14" spans="1:28" ht="17.149999999999999" customHeight="1" x14ac:dyDescent="0.35">
      <c r="A14" s="5"/>
      <c r="B14" s="4" t="s">
        <v>16</v>
      </c>
      <c r="C14" s="82">
        <f>C11*C13</f>
        <v>10.143964000000002</v>
      </c>
      <c r="D14" s="82">
        <f t="shared" ref="D14:I14" si="2">D11*D13</f>
        <v>39.67392000000001</v>
      </c>
      <c r="E14" s="82">
        <f t="shared" si="2"/>
        <v>46.333299999999994</v>
      </c>
      <c r="F14" s="82">
        <f t="shared" si="2"/>
        <v>76.645488999999998</v>
      </c>
      <c r="G14" s="72">
        <f t="shared" si="2"/>
        <v>71.128079999999997</v>
      </c>
      <c r="H14" s="72">
        <f t="shared" si="2"/>
        <v>134.87888999999998</v>
      </c>
      <c r="I14" s="72">
        <f t="shared" si="2"/>
        <v>190.60405599999999</v>
      </c>
      <c r="J14" s="72">
        <f>J11*J13</f>
        <v>233.51999999999998</v>
      </c>
      <c r="K14" s="72">
        <f t="shared" ref="K14:Q14" si="3">K11*K13</f>
        <v>272.92650000000003</v>
      </c>
      <c r="L14" s="72">
        <f t="shared" si="3"/>
        <v>314.9892900000001</v>
      </c>
      <c r="M14" s="72">
        <f t="shared" si="3"/>
        <v>365.38757640000011</v>
      </c>
      <c r="N14" s="72">
        <f t="shared" si="3"/>
        <v>414.02192277600017</v>
      </c>
      <c r="O14" s="72">
        <f t="shared" si="3"/>
        <v>458.36233515072024</v>
      </c>
      <c r="P14" s="72">
        <f>P11*P13</f>
        <v>495.86470802668822</v>
      </c>
      <c r="Q14" s="72">
        <f t="shared" si="3"/>
        <v>503.3026786470885</v>
      </c>
    </row>
    <row r="15" spans="1:28" x14ac:dyDescent="0.35">
      <c r="A15" s="100">
        <v>0.35</v>
      </c>
      <c r="B15" s="4" t="s">
        <v>39</v>
      </c>
      <c r="C15" s="82">
        <v>-162.02320400000002</v>
      </c>
      <c r="D15" s="82">
        <v>-56.068584000000008</v>
      </c>
      <c r="E15" s="82">
        <v>-9.3404000000000007</v>
      </c>
      <c r="F15" s="82">
        <v>8.7244630000000001</v>
      </c>
      <c r="G15" s="72">
        <v>-12.20256</v>
      </c>
      <c r="H15" s="72">
        <v>37.406190000000002</v>
      </c>
      <c r="I15" s="72">
        <v>82.554062999999999</v>
      </c>
      <c r="J15" s="72">
        <v>97.300000000000011</v>
      </c>
      <c r="K15" s="72">
        <f>K14*(1-$A$15)</f>
        <v>177.40222500000002</v>
      </c>
      <c r="L15" s="72">
        <f t="shared" ref="L15:Q15" si="4">L14*(1-$A$15)</f>
        <v>204.74303850000007</v>
      </c>
      <c r="M15" s="72">
        <f t="shared" si="4"/>
        <v>237.50192466000007</v>
      </c>
      <c r="N15" s="72">
        <f t="shared" si="4"/>
        <v>269.11424980440012</v>
      </c>
      <c r="O15" s="72">
        <f t="shared" si="4"/>
        <v>297.93551784796819</v>
      </c>
      <c r="P15" s="72">
        <f>P14*(1-$A$15)</f>
        <v>322.31206021734738</v>
      </c>
      <c r="Q15" s="72">
        <f t="shared" si="4"/>
        <v>327.14674112060754</v>
      </c>
    </row>
    <row r="16" spans="1:28" ht="31.5" hidden="1" thickBot="1" x14ac:dyDescent="0.4">
      <c r="A16" s="13" t="s">
        <v>6</v>
      </c>
      <c r="B16" s="14"/>
      <c r="C16" s="15">
        <f t="shared" ref="C16:J16" si="5">C15/C14</f>
        <v>-15.972375690607734</v>
      </c>
      <c r="D16" s="15">
        <f t="shared" si="5"/>
        <v>-1.4132352941176469</v>
      </c>
      <c r="E16" s="15">
        <f t="shared" si="5"/>
        <v>-0.20159151193633956</v>
      </c>
      <c r="F16" s="15">
        <f t="shared" si="5"/>
        <v>0.11382878645343368</v>
      </c>
      <c r="G16" s="15">
        <f t="shared" si="5"/>
        <v>-0.17155756207674944</v>
      </c>
      <c r="H16" s="15">
        <f t="shared" si="5"/>
        <v>0.27733168622606552</v>
      </c>
      <c r="I16" s="15">
        <f t="shared" si="5"/>
        <v>0.43311808118081185</v>
      </c>
      <c r="J16" s="15">
        <f t="shared" si="5"/>
        <v>0.41666666666666674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-9.5109586905689783E-2</v>
      </c>
      <c r="H17" s="72">
        <f t="shared" ref="H17:P17" si="6">H15/H18</f>
        <v>0.29155253312548712</v>
      </c>
      <c r="I17" s="72">
        <f t="shared" si="6"/>
        <v>0.64344554169914259</v>
      </c>
      <c r="J17" s="72">
        <f t="shared" si="6"/>
        <v>0.75837879968823074</v>
      </c>
      <c r="K17" s="72">
        <f t="shared" si="6"/>
        <v>1.3827141465315667</v>
      </c>
      <c r="L17" s="72">
        <f t="shared" si="6"/>
        <v>1.5958147973499615</v>
      </c>
      <c r="M17" s="72">
        <f t="shared" si="6"/>
        <v>1.8511451649259552</v>
      </c>
      <c r="N17" s="72">
        <f t="shared" si="6"/>
        <v>2.0975389696367897</v>
      </c>
      <c r="O17" s="72">
        <f t="shared" si="6"/>
        <v>2.3221786270301492</v>
      </c>
      <c r="P17" s="72">
        <f t="shared" si="6"/>
        <v>2.5121750601507977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128.30000000000001</v>
      </c>
      <c r="H18" s="72">
        <f>G18*1</f>
        <v>128.30000000000001</v>
      </c>
      <c r="I18" s="72">
        <f t="shared" ref="I18:P18" si="7">H18*1</f>
        <v>128.30000000000001</v>
      </c>
      <c r="J18" s="72">
        <f t="shared" si="7"/>
        <v>128.30000000000001</v>
      </c>
      <c r="K18" s="72">
        <f t="shared" si="7"/>
        <v>128.30000000000001</v>
      </c>
      <c r="L18" s="72">
        <f t="shared" si="7"/>
        <v>128.30000000000001</v>
      </c>
      <c r="M18" s="72">
        <f t="shared" si="7"/>
        <v>128.30000000000001</v>
      </c>
      <c r="N18" s="72">
        <f t="shared" si="7"/>
        <v>128.30000000000001</v>
      </c>
      <c r="O18" s="72">
        <f t="shared" si="7"/>
        <v>128.30000000000001</v>
      </c>
      <c r="P18" s="72">
        <f t="shared" si="7"/>
        <v>128.30000000000001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-11.100805094382533</v>
      </c>
      <c r="H19" s="53">
        <f>H15/(1+$C$55)^2</f>
        <v>30.956405500907771</v>
      </c>
      <c r="I19" s="53">
        <f>I15/(1+$C$55)^3</f>
        <v>62.15113005993463</v>
      </c>
      <c r="J19" s="53">
        <f>J15/(1+$C$55)^4</f>
        <v>66.638765506650174</v>
      </c>
      <c r="K19" s="53">
        <f>K15/(1+$C$55)^5</f>
        <v>110.5291145872185</v>
      </c>
      <c r="L19" s="53">
        <f>L15/(1+$C$55)^6</f>
        <v>116.0460328941512</v>
      </c>
      <c r="M19" s="53">
        <f>M15/(1+$C$55)^7</f>
        <v>122.45931149166741</v>
      </c>
      <c r="N19" s="53">
        <f>N15/(1+$C$55)^8</f>
        <v>126.23067375455652</v>
      </c>
      <c r="O19" s="53">
        <f>O15/(1+$C$55)^9</f>
        <v>127.13174593399839</v>
      </c>
      <c r="P19" s="53">
        <f>P15/(1+$C$55)^10</f>
        <v>125.11570092125464</v>
      </c>
      <c r="Q19" s="54">
        <f>(Q15/(C55-Q12))/(1+C55)^10</f>
        <v>1507.3286223747589</v>
      </c>
    </row>
    <row r="20" spans="1:18" x14ac:dyDescent="0.35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90" t="s">
        <v>25</v>
      </c>
      <c r="H23" s="91"/>
      <c r="I23" s="92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35">
      <c r="A25" s="35"/>
      <c r="B25" s="36"/>
      <c r="C25" s="36"/>
      <c r="D25" s="38"/>
      <c r="F25" s="36"/>
      <c r="G25" s="93" t="s">
        <v>27</v>
      </c>
      <c r="H25" s="6"/>
      <c r="I25" s="95">
        <f>(I27-I23)*I29</f>
        <v>6.1750000000000013E-2</v>
      </c>
      <c r="J25" s="26"/>
    </row>
    <row r="26" spans="1:18" x14ac:dyDescent="0.35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35">
      <c r="A27" s="35"/>
      <c r="B27" s="36"/>
      <c r="C27" s="36"/>
      <c r="D27" s="38"/>
      <c r="F27" s="36"/>
      <c r="G27" s="93" t="s">
        <v>28</v>
      </c>
      <c r="H27" s="6"/>
      <c r="I27" s="96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35">
      <c r="A29" s="35"/>
      <c r="B29" s="36"/>
      <c r="C29" s="36"/>
      <c r="D29" s="39"/>
      <c r="F29" s="36"/>
      <c r="G29" s="93" t="s">
        <v>35</v>
      </c>
      <c r="H29" s="6"/>
      <c r="I29" s="79">
        <v>1.9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35">
      <c r="A31" s="35"/>
      <c r="B31" s="36"/>
      <c r="C31" s="36"/>
      <c r="D31" s="37"/>
      <c r="F31" s="36"/>
      <c r="G31" s="93" t="s">
        <v>31</v>
      </c>
      <c r="H31" s="6"/>
      <c r="I31" s="96">
        <f>I23+(I27-I23)*I29</f>
        <v>9.9250000000000005E-2</v>
      </c>
      <c r="J31" s="26" t="s">
        <v>32</v>
      </c>
    </row>
    <row r="32" spans="1:18" x14ac:dyDescent="0.35">
      <c r="A32" s="25"/>
      <c r="C32" s="41"/>
      <c r="E32" s="36"/>
      <c r="F32" s="36"/>
      <c r="G32" s="93"/>
      <c r="H32" s="6"/>
      <c r="I32" s="6"/>
      <c r="J32" s="26"/>
    </row>
    <row r="33" spans="1:10" x14ac:dyDescent="0.35">
      <c r="A33" s="25"/>
      <c r="G33" s="97" t="s">
        <v>34</v>
      </c>
      <c r="H33" s="98"/>
      <c r="I33" s="99">
        <f>I31</f>
        <v>9.9250000000000005E-2</v>
      </c>
      <c r="J33" s="26"/>
    </row>
    <row r="34" spans="1:10" x14ac:dyDescent="0.35">
      <c r="A34" s="35" t="s">
        <v>7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45164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6132.74</v>
      </c>
      <c r="D49" s="47">
        <f>SUM(G19:Q19)</f>
        <v>2383.4866979307158</v>
      </c>
      <c r="E49" s="46" t="s">
        <v>42</v>
      </c>
    </row>
    <row r="50" spans="1:17" x14ac:dyDescent="0.35">
      <c r="A50" s="45"/>
      <c r="B50" s="46" t="s">
        <v>11</v>
      </c>
      <c r="C50" s="56">
        <v>128.30000000000001</v>
      </c>
      <c r="D50" s="56">
        <f>C50</f>
        <v>128.30000000000001</v>
      </c>
      <c r="E50" s="46"/>
    </row>
    <row r="51" spans="1:17" x14ac:dyDescent="0.35">
      <c r="A51" s="45"/>
      <c r="B51" s="46" t="s">
        <v>13</v>
      </c>
      <c r="C51" s="87">
        <v>47.8</v>
      </c>
      <c r="D51" s="56">
        <f>D49/(D50)</f>
        <v>18.57744893165016</v>
      </c>
      <c r="E51" s="46" t="s">
        <v>42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1.5730120521856881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3">
        <v>0.108</v>
      </c>
      <c r="C57" s="50"/>
      <c r="D57" s="74">
        <f>SUM(H57:Q57)*1000</f>
        <v>1975717.0333167342</v>
      </c>
      <c r="E57" s="46"/>
      <c r="F57" s="1" t="s">
        <v>23</v>
      </c>
      <c r="H57" s="1">
        <f>G15/(1+$B$57)</f>
        <v>-11.013140794223826</v>
      </c>
      <c r="I57" s="1">
        <f>H15/(1+$B$57)^2</f>
        <v>30.469403680485861</v>
      </c>
      <c r="J57" s="1">
        <f>I15/(1+$B$57)^3</f>
        <v>60.690284211162215</v>
      </c>
      <c r="K57" s="1">
        <f>J15/(1+$B$57)^4</f>
        <v>64.558554642373622</v>
      </c>
      <c r="L57" s="1">
        <f>K15/(1+$B$57)^5</f>
        <v>106.23319923439321</v>
      </c>
      <c r="M57" s="1">
        <f>L15/(1+$B$57)^6</f>
        <v>110.65488261726456</v>
      </c>
      <c r="N57" s="1">
        <f>M15/(1+$B$57)^7</f>
        <v>115.84807205417587</v>
      </c>
      <c r="O57" s="1">
        <f>N15/(1+$B$57)^8</f>
        <v>118.47278873709132</v>
      </c>
      <c r="P57" s="1">
        <f>O15/(1+$B$57)^9</f>
        <v>118.37621140843643</v>
      </c>
      <c r="Q57" s="1">
        <f>(Q15/(B57-Q12))/(1+B57)^10</f>
        <v>1261.4267775255751</v>
      </c>
    </row>
    <row r="58" spans="1:17" ht="16" thickBot="1" x14ac:dyDescent="0.4">
      <c r="A58" s="22"/>
      <c r="C58" s="65"/>
      <c r="D58" s="66"/>
    </row>
    <row r="59" spans="1:17" x14ac:dyDescent="0.35">
      <c r="A59" s="59" t="s">
        <v>44</v>
      </c>
      <c r="B59" s="23"/>
      <c r="C59" s="67">
        <v>18</v>
      </c>
      <c r="D59" s="23"/>
      <c r="E59" s="24"/>
    </row>
    <row r="60" spans="1:17" x14ac:dyDescent="0.35">
      <c r="A60" s="25" t="s">
        <v>21</v>
      </c>
      <c r="C60" s="68"/>
      <c r="E60" s="26"/>
    </row>
    <row r="61" spans="1:17" x14ac:dyDescent="0.35">
      <c r="A61" s="25"/>
      <c r="C61" s="68"/>
      <c r="E61" s="26"/>
    </row>
    <row r="62" spans="1:17" x14ac:dyDescent="0.35">
      <c r="A62" s="25" t="s">
        <v>37</v>
      </c>
      <c r="C62" s="68"/>
      <c r="E62" s="60">
        <f>P17*C59</f>
        <v>45.219151082714362</v>
      </c>
    </row>
    <row r="63" spans="1:17" x14ac:dyDescent="0.35">
      <c r="A63" s="25"/>
      <c r="C63" s="68"/>
      <c r="E63" s="26"/>
    </row>
    <row r="64" spans="1:17" x14ac:dyDescent="0.35">
      <c r="A64" s="25" t="s">
        <v>17</v>
      </c>
      <c r="C64" s="69">
        <v>0.2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2.6719668106464782</v>
      </c>
    </row>
    <row r="67" spans="1:5" x14ac:dyDescent="0.35">
      <c r="A67" s="25"/>
      <c r="E67" s="61"/>
    </row>
    <row r="68" spans="1:5" x14ac:dyDescent="0.35">
      <c r="A68" s="103" t="s">
        <v>45</v>
      </c>
      <c r="E68" s="104">
        <f>(E66*0.25)*-1</f>
        <v>-0.66799170266161956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46</v>
      </c>
      <c r="E70" s="60">
        <f>SUM(E62:E68)</f>
        <v>47.223126190699226</v>
      </c>
    </row>
    <row r="71" spans="1:5" x14ac:dyDescent="0.35">
      <c r="A71" s="25"/>
      <c r="E71" s="60"/>
    </row>
    <row r="72" spans="1:5" x14ac:dyDescent="0.35">
      <c r="A72" s="25" t="s">
        <v>47</v>
      </c>
      <c r="E72" s="62">
        <f>E70/C51-1</f>
        <v>-1.2068489734325727E-2</v>
      </c>
    </row>
    <row r="73" spans="1:5" x14ac:dyDescent="0.35">
      <c r="A73" s="25"/>
      <c r="E73" s="26"/>
    </row>
    <row r="74" spans="1:5" ht="16" thickBot="1" x14ac:dyDescent="0.4">
      <c r="A74" s="63" t="s">
        <v>48</v>
      </c>
      <c r="B74" s="64"/>
      <c r="C74" s="64"/>
      <c r="D74" s="64"/>
      <c r="E74" s="102">
        <f>(E70/C51)^(1/10)-1</f>
        <v>-1.2134536919916616E-3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11" priority="5" percent="1" rank="10"/>
  </conditionalFormatting>
  <conditionalFormatting sqref="K9">
    <cfRule type="top10" dxfId="10" priority="4" percent="1" rank="10"/>
  </conditionalFormatting>
  <conditionalFormatting sqref="L2:L5">
    <cfRule type="top10" dxfId="9" priority="3" percent="1" rank="10"/>
  </conditionalFormatting>
  <conditionalFormatting sqref="L6:L8">
    <cfRule type="top10" dxfId="8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zoomScaleNormal="100" workbookViewId="0">
      <selection activeCell="C48" sqref="C48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41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43</v>
      </c>
    </row>
    <row r="11" spans="1:28" x14ac:dyDescent="0.35">
      <c r="A11" s="5"/>
      <c r="B11" s="4" t="s">
        <v>4</v>
      </c>
      <c r="C11" s="82">
        <v>560.44000000000005</v>
      </c>
      <c r="D11" s="82">
        <v>583.44000000000005</v>
      </c>
      <c r="E11" s="82">
        <v>614.5</v>
      </c>
      <c r="F11" s="82">
        <v>721.03</v>
      </c>
      <c r="G11" s="72">
        <v>802.8</v>
      </c>
      <c r="H11" s="72">
        <v>833.1</v>
      </c>
      <c r="I11" s="72">
        <v>879.17</v>
      </c>
      <c r="J11" s="72">
        <v>973</v>
      </c>
      <c r="K11" s="72">
        <f>J11*(1+K12)</f>
        <v>1089.76</v>
      </c>
      <c r="L11" s="72">
        <f t="shared" ref="L11:Q11" si="0">K11*(1+L12)</f>
        <v>1209.6336000000001</v>
      </c>
      <c r="M11" s="72">
        <f t="shared" si="0"/>
        <v>1330.5969600000003</v>
      </c>
      <c r="N11" s="72">
        <f t="shared" si="0"/>
        <v>1450.3506864000005</v>
      </c>
      <c r="O11" s="72">
        <f t="shared" si="0"/>
        <v>1551.8752344480006</v>
      </c>
      <c r="P11" s="72">
        <f t="shared" si="0"/>
        <v>1629.4689961704007</v>
      </c>
      <c r="Q11" s="72">
        <f t="shared" si="0"/>
        <v>1662.0583760938086</v>
      </c>
    </row>
    <row r="12" spans="1:28" x14ac:dyDescent="0.35">
      <c r="A12" s="5"/>
      <c r="B12" s="4" t="s">
        <v>1</v>
      </c>
      <c r="C12" s="89"/>
      <c r="D12" s="89">
        <f t="shared" ref="D12:H12" si="1">D11/C11-1</f>
        <v>4.1039183498679632E-2</v>
      </c>
      <c r="E12" s="89">
        <f t="shared" si="1"/>
        <v>5.3235979706567793E-2</v>
      </c>
      <c r="F12" s="89">
        <f t="shared" si="1"/>
        <v>0.17336045565500413</v>
      </c>
      <c r="G12" s="85">
        <f t="shared" si="1"/>
        <v>0.11340720913138158</v>
      </c>
      <c r="H12" s="85">
        <f t="shared" si="1"/>
        <v>3.7742899850523148E-2</v>
      </c>
      <c r="I12" s="85">
        <f t="shared" ref="I12" si="2">I11/H11-1</f>
        <v>5.5299483855479448E-2</v>
      </c>
      <c r="J12" s="85">
        <f t="shared" ref="J12" si="3">J11/I11-1</f>
        <v>0.10672566170365227</v>
      </c>
      <c r="K12" s="85">
        <v>0.12</v>
      </c>
      <c r="L12" s="71">
        <v>0.11</v>
      </c>
      <c r="M12" s="71">
        <v>0.1</v>
      </c>
      <c r="N12" s="71">
        <v>0.09</v>
      </c>
      <c r="O12" s="71">
        <v>7.0000000000000007E-2</v>
      </c>
      <c r="P12" s="71">
        <v>0.05</v>
      </c>
      <c r="Q12" s="12">
        <v>0.02</v>
      </c>
    </row>
    <row r="13" spans="1:28" ht="16" customHeight="1" x14ac:dyDescent="0.35">
      <c r="A13" s="5"/>
      <c r="B13" s="4" t="s">
        <v>15</v>
      </c>
      <c r="C13" s="88">
        <v>1.8100000000000002E-2</v>
      </c>
      <c r="D13" s="88">
        <v>6.8000000000000005E-2</v>
      </c>
      <c r="E13" s="88">
        <v>7.5399999999999995E-2</v>
      </c>
      <c r="F13" s="88">
        <v>0.10630000000000001</v>
      </c>
      <c r="G13" s="84">
        <v>8.8599999999999998E-2</v>
      </c>
      <c r="H13" s="84">
        <v>0.16189999999999999</v>
      </c>
      <c r="I13" s="84">
        <v>0.21679999999999999</v>
      </c>
      <c r="J13" s="84">
        <v>0.25</v>
      </c>
      <c r="K13" s="84">
        <v>0.27</v>
      </c>
      <c r="L13" s="84">
        <v>0.3</v>
      </c>
      <c r="M13" s="84">
        <v>0.32</v>
      </c>
      <c r="N13" s="84">
        <v>0.35</v>
      </c>
      <c r="O13" s="84">
        <v>0.37</v>
      </c>
      <c r="P13" s="84">
        <v>0.4</v>
      </c>
      <c r="Q13" s="84">
        <v>0.4</v>
      </c>
    </row>
    <row r="14" spans="1:28" ht="17.149999999999999" customHeight="1" x14ac:dyDescent="0.35">
      <c r="A14" s="5"/>
      <c r="B14" s="4" t="s">
        <v>16</v>
      </c>
      <c r="C14" s="82">
        <f t="shared" ref="C14:J14" si="4">C11*C13</f>
        <v>10.143964000000002</v>
      </c>
      <c r="D14" s="82">
        <f t="shared" si="4"/>
        <v>39.67392000000001</v>
      </c>
      <c r="E14" s="82">
        <f t="shared" si="4"/>
        <v>46.333299999999994</v>
      </c>
      <c r="F14" s="82">
        <f t="shared" si="4"/>
        <v>76.645488999999998</v>
      </c>
      <c r="G14" s="72">
        <f t="shared" si="4"/>
        <v>71.128079999999997</v>
      </c>
      <c r="H14" s="72">
        <f t="shared" si="4"/>
        <v>134.87888999999998</v>
      </c>
      <c r="I14" s="72">
        <f t="shared" si="4"/>
        <v>190.60405599999999</v>
      </c>
      <c r="J14" s="72">
        <f t="shared" si="4"/>
        <v>243.25</v>
      </c>
      <c r="K14" s="72">
        <f t="shared" ref="K14:Q14" si="5">K11*K13</f>
        <v>294.23520000000002</v>
      </c>
      <c r="L14" s="72">
        <f t="shared" si="5"/>
        <v>362.89008000000001</v>
      </c>
      <c r="M14" s="72">
        <f t="shared" si="5"/>
        <v>425.79102720000009</v>
      </c>
      <c r="N14" s="72">
        <f t="shared" si="5"/>
        <v>507.62274024000016</v>
      </c>
      <c r="O14" s="72">
        <f>O11*O13</f>
        <v>574.19383674576022</v>
      </c>
      <c r="P14" s="72">
        <f t="shared" si="5"/>
        <v>651.78759846816035</v>
      </c>
      <c r="Q14" s="72">
        <f t="shared" si="5"/>
        <v>664.82335043752346</v>
      </c>
    </row>
    <row r="15" spans="1:28" x14ac:dyDescent="0.35">
      <c r="A15" s="100">
        <v>0.3</v>
      </c>
      <c r="B15" s="4" t="s">
        <v>39</v>
      </c>
      <c r="C15" s="82">
        <v>-162.02320400000002</v>
      </c>
      <c r="D15" s="82">
        <v>-56.068584000000008</v>
      </c>
      <c r="E15" s="82">
        <v>-9.3404000000000007</v>
      </c>
      <c r="F15" s="82">
        <v>8.7244630000000001</v>
      </c>
      <c r="G15" s="72">
        <v>-12.20256</v>
      </c>
      <c r="H15" s="72">
        <v>37.406190000000002</v>
      </c>
      <c r="I15" s="72">
        <v>82.554062999999999</v>
      </c>
      <c r="J15" s="72">
        <v>97.300000000000011</v>
      </c>
      <c r="K15" s="72">
        <f t="shared" ref="K15:Q15" si="6">K14*(1-$A$15)</f>
        <v>205.96464</v>
      </c>
      <c r="L15" s="72">
        <f t="shared" si="6"/>
        <v>254.023056</v>
      </c>
      <c r="M15" s="72">
        <f t="shared" si="6"/>
        <v>298.05371904000003</v>
      </c>
      <c r="N15" s="72">
        <f t="shared" si="6"/>
        <v>355.33591816800009</v>
      </c>
      <c r="O15" s="72">
        <f>O14*(1-$A$15)</f>
        <v>401.93568572203213</v>
      </c>
      <c r="P15" s="72">
        <f t="shared" si="6"/>
        <v>456.25131892771219</v>
      </c>
      <c r="Q15" s="72">
        <f t="shared" si="6"/>
        <v>465.37634530626639</v>
      </c>
    </row>
    <row r="16" spans="1:28" ht="31.5" hidden="1" thickBot="1" x14ac:dyDescent="0.4">
      <c r="A16" s="13" t="s">
        <v>6</v>
      </c>
      <c r="B16" s="14"/>
      <c r="C16" s="15">
        <f t="shared" ref="C16:J16" si="7">C15/C14</f>
        <v>-15.972375690607734</v>
      </c>
      <c r="D16" s="15">
        <f t="shared" si="7"/>
        <v>-1.4132352941176469</v>
      </c>
      <c r="E16" s="15">
        <f t="shared" si="7"/>
        <v>-0.20159151193633956</v>
      </c>
      <c r="F16" s="15">
        <f t="shared" si="7"/>
        <v>0.11382878645343368</v>
      </c>
      <c r="G16" s="15">
        <f t="shared" si="7"/>
        <v>-0.17155756207674944</v>
      </c>
      <c r="H16" s="15">
        <f t="shared" si="7"/>
        <v>0.27733168622606552</v>
      </c>
      <c r="I16" s="15">
        <f t="shared" si="7"/>
        <v>0.43311808118081185</v>
      </c>
      <c r="J16" s="15">
        <f t="shared" si="7"/>
        <v>0.4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-9.5109586905689783E-2</v>
      </c>
      <c r="H17" s="72">
        <f>H15/H18</f>
        <v>0.29155253312548712</v>
      </c>
      <c r="I17" s="72">
        <f t="shared" ref="I17:O17" si="8">I15/I18</f>
        <v>0.64344554169914259</v>
      </c>
      <c r="J17" s="72">
        <f>J15/J18</f>
        <v>0.75837879968823074</v>
      </c>
      <c r="K17" s="72">
        <f t="shared" si="8"/>
        <v>1.6053362431800466</v>
      </c>
      <c r="L17" s="72">
        <f t="shared" si="8"/>
        <v>1.9799146999220574</v>
      </c>
      <c r="M17" s="72">
        <f t="shared" si="8"/>
        <v>2.3230999145752143</v>
      </c>
      <c r="N17" s="72">
        <f t="shared" si="8"/>
        <v>2.7695706794076389</v>
      </c>
      <c r="O17" s="72">
        <f t="shared" si="8"/>
        <v>3.132780091364241</v>
      </c>
      <c r="P17" s="72">
        <f>P15/P18</f>
        <v>3.5561287523594087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128.30000000000001</v>
      </c>
      <c r="H18" s="72">
        <f>G18*1</f>
        <v>128.30000000000001</v>
      </c>
      <c r="I18" s="72">
        <f t="shared" ref="I18:P18" si="9">H18*1</f>
        <v>128.30000000000001</v>
      </c>
      <c r="J18" s="72">
        <f t="shared" si="9"/>
        <v>128.30000000000001</v>
      </c>
      <c r="K18" s="72">
        <f t="shared" si="9"/>
        <v>128.30000000000001</v>
      </c>
      <c r="L18" s="72">
        <f t="shared" si="9"/>
        <v>128.30000000000001</v>
      </c>
      <c r="M18" s="72">
        <f t="shared" si="9"/>
        <v>128.30000000000001</v>
      </c>
      <c r="N18" s="72">
        <f t="shared" si="9"/>
        <v>128.30000000000001</v>
      </c>
      <c r="O18" s="72">
        <f t="shared" si="9"/>
        <v>128.30000000000001</v>
      </c>
      <c r="P18" s="72">
        <f t="shared" si="9"/>
        <v>128.30000000000001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-11.100805094382533</v>
      </c>
      <c r="H19" s="53">
        <f>H15/(1+$C$55)^2</f>
        <v>30.956405500907771</v>
      </c>
      <c r="I19" s="53">
        <f>I15/(1+$C$55)^3</f>
        <v>62.15113005993463</v>
      </c>
      <c r="J19" s="53">
        <f>J15/(1+$C$55)^4</f>
        <v>66.638765506650174</v>
      </c>
      <c r="K19" s="53">
        <f>K15/(1+$C$55)^5</f>
        <v>128.3247112344572</v>
      </c>
      <c r="L19" s="53">
        <f>L15/(1+$C$55)^6</f>
        <v>143.97738808808779</v>
      </c>
      <c r="M19" s="53">
        <f>M15/(1+$C$55)^7</f>
        <v>153.68066289745104</v>
      </c>
      <c r="N19" s="53">
        <f>N15/(1+$C$55)^8</f>
        <v>166.67379149243112</v>
      </c>
      <c r="O19" s="53">
        <f>O15/(1+$C$55)^9</f>
        <v>171.50954625388346</v>
      </c>
      <c r="P19" s="53">
        <f>P15/(1+$C$55)^10</f>
        <v>177.10849394029356</v>
      </c>
      <c r="Q19" s="54">
        <f>(Q15/(C55-Q12))/(1+C55)^10</f>
        <v>2279.5036444050402</v>
      </c>
    </row>
    <row r="20" spans="1:18" x14ac:dyDescent="0.3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0">
        <f>(I27-I23)*I29</f>
        <v>6.1750000000000013E-2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79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79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79">
        <v>1.9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79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1">
        <f>I23+(I27-I23)*I29</f>
        <v>9.9250000000000005E-2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6" t="s">
        <v>34</v>
      </c>
      <c r="H33" s="22"/>
      <c r="I33" s="77">
        <f>I31</f>
        <v>9.9250000000000005E-2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45164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6132.74</v>
      </c>
      <c r="D49" s="47">
        <f>SUM(G19:Q19)</f>
        <v>3369.4237342847546</v>
      </c>
      <c r="E49" s="46" t="s">
        <v>42</v>
      </c>
    </row>
    <row r="50" spans="1:17" x14ac:dyDescent="0.35">
      <c r="A50" s="45"/>
      <c r="B50" s="46" t="s">
        <v>11</v>
      </c>
      <c r="C50" s="56">
        <v>128.30000000000001</v>
      </c>
      <c r="D50" s="56">
        <f>C50</f>
        <v>128.30000000000001</v>
      </c>
      <c r="E50" s="46"/>
    </row>
    <row r="51" spans="1:17" x14ac:dyDescent="0.35">
      <c r="A51" s="45"/>
      <c r="B51" s="46" t="s">
        <v>13</v>
      </c>
      <c r="C51" s="87">
        <v>47.8</v>
      </c>
      <c r="D51" s="56">
        <f>D49/(D50)</f>
        <v>26.262071194736979</v>
      </c>
      <c r="E51" s="46" t="s">
        <v>42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0.82011539172048642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3">
        <v>0.108</v>
      </c>
      <c r="C57" s="50"/>
      <c r="D57" s="74">
        <f>SUM(H57:Q57)*1000</f>
        <v>2763216.9736045976</v>
      </c>
      <c r="E57" s="46"/>
      <c r="F57" s="1" t="s">
        <v>23</v>
      </c>
      <c r="H57" s="1">
        <f>G15/(1+$B$57)</f>
        <v>-11.013140794223826</v>
      </c>
      <c r="I57" s="1">
        <f>H15/(1+$B$57)^2</f>
        <v>30.469403680485861</v>
      </c>
      <c r="J57" s="1">
        <f>I15/(1+$B$57)^3</f>
        <v>60.690284211162215</v>
      </c>
      <c r="K57" s="1">
        <f>J15/(1+$B$57)^4</f>
        <v>64.558554642373622</v>
      </c>
      <c r="L57" s="1">
        <f>K15/(1+$B$57)^5</f>
        <v>123.33713760557441</v>
      </c>
      <c r="M57" s="1">
        <f>L15/(1+$B$57)^6</f>
        <v>137.28863090873202</v>
      </c>
      <c r="N57" s="1">
        <f>M15/(1+$B$57)^7</f>
        <v>145.38386907302549</v>
      </c>
      <c r="O57" s="1">
        <f>N15/(1+$B$57)^8</f>
        <v>156.43035325857178</v>
      </c>
      <c r="P57" s="1">
        <f>O15/(1+$B$57)^9</f>
        <v>159.69772267939291</v>
      </c>
      <c r="Q57" s="1">
        <f>(Q15/(B57-Q12))/(1+B57)^10</f>
        <v>1896.3741583395031</v>
      </c>
    </row>
    <row r="58" spans="1:17" ht="16" thickBot="1" x14ac:dyDescent="0.4">
      <c r="A58" s="22"/>
      <c r="C58" s="65"/>
      <c r="D58" s="66"/>
    </row>
    <row r="59" spans="1:17" x14ac:dyDescent="0.35">
      <c r="A59" s="59" t="s">
        <v>44</v>
      </c>
      <c r="B59" s="23"/>
      <c r="C59" s="67">
        <v>34</v>
      </c>
      <c r="D59" s="23"/>
      <c r="E59" s="24"/>
    </row>
    <row r="60" spans="1:17" x14ac:dyDescent="0.35">
      <c r="A60" s="25" t="s">
        <v>21</v>
      </c>
      <c r="C60" s="68" t="s">
        <v>40</v>
      </c>
      <c r="E60" s="26"/>
    </row>
    <row r="61" spans="1:17" x14ac:dyDescent="0.35">
      <c r="A61" s="25"/>
      <c r="C61" s="68"/>
      <c r="E61" s="26"/>
    </row>
    <row r="62" spans="1:17" x14ac:dyDescent="0.35">
      <c r="A62" s="25" t="s">
        <v>37</v>
      </c>
      <c r="C62" s="68"/>
      <c r="E62" s="60">
        <f>P17*C59</f>
        <v>120.90837758021989</v>
      </c>
    </row>
    <row r="63" spans="1:17" x14ac:dyDescent="0.35">
      <c r="A63" s="25"/>
      <c r="C63" s="68"/>
      <c r="E63" s="26"/>
    </row>
    <row r="64" spans="1:17" x14ac:dyDescent="0.35">
      <c r="A64" s="25" t="s">
        <v>17</v>
      </c>
      <c r="C64" s="69">
        <v>0.25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4.241274417103944</v>
      </c>
    </row>
    <row r="67" spans="1:5" x14ac:dyDescent="0.35">
      <c r="A67" s="25"/>
      <c r="E67" s="61"/>
    </row>
    <row r="68" spans="1:5" x14ac:dyDescent="0.35">
      <c r="A68" s="103" t="s">
        <v>45</v>
      </c>
      <c r="E68" s="104">
        <f>(E66*0.25)*-1</f>
        <v>-1.060318604275986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46</v>
      </c>
      <c r="E70" s="60">
        <f>SUM(E62:E68)</f>
        <v>124.08933339304784</v>
      </c>
    </row>
    <row r="71" spans="1:5" x14ac:dyDescent="0.35">
      <c r="A71" s="25"/>
      <c r="E71" s="60"/>
    </row>
    <row r="72" spans="1:5" x14ac:dyDescent="0.35">
      <c r="A72" s="25" t="s">
        <v>47</v>
      </c>
      <c r="E72" s="62">
        <f>E70/C51-1</f>
        <v>1.5960111588503731</v>
      </c>
    </row>
    <row r="73" spans="1:5" x14ac:dyDescent="0.35">
      <c r="A73" s="25"/>
      <c r="E73" s="26"/>
    </row>
    <row r="74" spans="1:5" ht="16" thickBot="1" x14ac:dyDescent="0.4">
      <c r="A74" s="63" t="s">
        <v>48</v>
      </c>
      <c r="B74" s="64"/>
      <c r="C74" s="64"/>
      <c r="D74" s="64"/>
      <c r="E74" s="102">
        <f>(E70/C51)^(1/10)-1</f>
        <v>0.10009617712379026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7" priority="5" percent="1" rank="10"/>
  </conditionalFormatting>
  <conditionalFormatting sqref="L2:L5">
    <cfRule type="top10" dxfId="6" priority="3" percent="1" rank="10"/>
  </conditionalFormatting>
  <conditionalFormatting sqref="L6:L8">
    <cfRule type="top10" dxfId="5" priority="6" percent="1" rank="10"/>
  </conditionalFormatting>
  <conditionalFormatting sqref="L9">
    <cfRule type="top10" dxfId="4" priority="4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zoomScaleNormal="100" workbookViewId="0">
      <selection activeCell="C60" sqref="C60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41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43</v>
      </c>
    </row>
    <row r="11" spans="1:28" x14ac:dyDescent="0.35">
      <c r="A11" s="5"/>
      <c r="B11" s="4" t="s">
        <v>4</v>
      </c>
      <c r="C11" s="82">
        <v>560.44000000000005</v>
      </c>
      <c r="D11" s="82">
        <v>583.44000000000005</v>
      </c>
      <c r="E11" s="82">
        <v>614.5</v>
      </c>
      <c r="F11" s="82">
        <v>721.03</v>
      </c>
      <c r="G11" s="72">
        <f t="shared" ref="G11:I11" si="0">F11*(1+G12)</f>
        <v>843.60509999999988</v>
      </c>
      <c r="H11" s="72">
        <f t="shared" si="0"/>
        <v>987.01796699999977</v>
      </c>
      <c r="I11" s="72">
        <f t="shared" si="0"/>
        <v>1154.8110213899997</v>
      </c>
      <c r="J11" s="72">
        <f>I11*(1+J12)</f>
        <v>1351.1288950262997</v>
      </c>
      <c r="K11" s="72">
        <f>J11*(1+K12)</f>
        <v>1580.8208071807705</v>
      </c>
      <c r="L11" s="72">
        <f t="shared" ref="L11:Q11" si="1">K11*(1+L12)</f>
        <v>1849.5603444015014</v>
      </c>
      <c r="M11" s="72">
        <f t="shared" si="1"/>
        <v>2163.9856029497564</v>
      </c>
      <c r="N11" s="72">
        <f t="shared" si="1"/>
        <v>2531.8631554512149</v>
      </c>
      <c r="O11" s="72">
        <f t="shared" si="1"/>
        <v>2962.2798918779213</v>
      </c>
      <c r="P11" s="72">
        <f t="shared" si="1"/>
        <v>3140.0166853905966</v>
      </c>
      <c r="Q11" s="72">
        <f t="shared" si="1"/>
        <v>3202.8170190984088</v>
      </c>
    </row>
    <row r="12" spans="1:28" x14ac:dyDescent="0.35">
      <c r="A12" s="5"/>
      <c r="B12" s="4" t="s">
        <v>1</v>
      </c>
      <c r="C12" s="86"/>
      <c r="D12" s="89">
        <f>D11/C11-1</f>
        <v>4.1039183498679632E-2</v>
      </c>
      <c r="E12" s="89">
        <f>E11/D11-1</f>
        <v>5.3235979706567793E-2</v>
      </c>
      <c r="F12" s="89">
        <f>F11/E11-1</f>
        <v>0.17336045565500413</v>
      </c>
      <c r="G12" s="85">
        <v>0.17</v>
      </c>
      <c r="H12" s="85">
        <f t="shared" ref="H12:O12" si="2">G12</f>
        <v>0.17</v>
      </c>
      <c r="I12" s="85">
        <f t="shared" si="2"/>
        <v>0.17</v>
      </c>
      <c r="J12" s="85">
        <f t="shared" si="2"/>
        <v>0.17</v>
      </c>
      <c r="K12" s="85">
        <f t="shared" si="2"/>
        <v>0.17</v>
      </c>
      <c r="L12" s="85">
        <f t="shared" si="2"/>
        <v>0.17</v>
      </c>
      <c r="M12" s="85">
        <f t="shared" si="2"/>
        <v>0.17</v>
      </c>
      <c r="N12" s="85">
        <f t="shared" si="2"/>
        <v>0.17</v>
      </c>
      <c r="O12" s="85">
        <f t="shared" si="2"/>
        <v>0.17</v>
      </c>
      <c r="P12" s="85">
        <v>0.06</v>
      </c>
      <c r="Q12" s="85">
        <v>0.02</v>
      </c>
    </row>
    <row r="13" spans="1:28" ht="16" customHeight="1" x14ac:dyDescent="0.35">
      <c r="A13" s="5"/>
      <c r="B13" s="4" t="s">
        <v>15</v>
      </c>
      <c r="C13" s="88">
        <v>1.8100000000000002E-2</v>
      </c>
      <c r="D13" s="88">
        <v>6.8000000000000005E-2</v>
      </c>
      <c r="E13" s="88">
        <v>7.5399999999999995E-2</v>
      </c>
      <c r="F13" s="88">
        <v>0.10630000000000001</v>
      </c>
      <c r="G13" s="84">
        <v>8.8599999999999998E-2</v>
      </c>
      <c r="H13" s="84">
        <v>0.16189999999999999</v>
      </c>
      <c r="I13" s="84">
        <v>0.21679999999999999</v>
      </c>
      <c r="J13" s="84">
        <v>0.25</v>
      </c>
      <c r="K13" s="84">
        <v>0.27</v>
      </c>
      <c r="L13" s="84">
        <v>0.3</v>
      </c>
      <c r="M13" s="84">
        <v>0.32</v>
      </c>
      <c r="N13" s="84">
        <v>0.35</v>
      </c>
      <c r="O13" s="84">
        <v>0.37</v>
      </c>
      <c r="P13" s="84">
        <v>0.4</v>
      </c>
      <c r="Q13" s="84">
        <v>0.4</v>
      </c>
    </row>
    <row r="14" spans="1:28" ht="17.149999999999999" customHeight="1" x14ac:dyDescent="0.35">
      <c r="A14" s="5"/>
      <c r="B14" s="4" t="s">
        <v>16</v>
      </c>
      <c r="C14" s="82">
        <f t="shared" ref="C14:J14" si="3">C11*C13</f>
        <v>10.143964000000002</v>
      </c>
      <c r="D14" s="82">
        <f t="shared" si="3"/>
        <v>39.67392000000001</v>
      </c>
      <c r="E14" s="82">
        <f t="shared" si="3"/>
        <v>46.333299999999994</v>
      </c>
      <c r="F14" s="82">
        <f t="shared" si="3"/>
        <v>76.645488999999998</v>
      </c>
      <c r="G14" s="72">
        <f t="shared" si="3"/>
        <v>74.743411859999995</v>
      </c>
      <c r="H14" s="72">
        <f t="shared" si="3"/>
        <v>159.79820885729995</v>
      </c>
      <c r="I14" s="72">
        <f t="shared" si="3"/>
        <v>250.36302943735194</v>
      </c>
      <c r="J14" s="72">
        <f t="shared" si="3"/>
        <v>337.78222375657492</v>
      </c>
      <c r="K14" s="72">
        <f t="shared" ref="K14:Q14" si="4">K11*K13</f>
        <v>426.82161793880806</v>
      </c>
      <c r="L14" s="72">
        <f t="shared" si="4"/>
        <v>554.86810332045036</v>
      </c>
      <c r="M14" s="72">
        <f t="shared" si="4"/>
        <v>692.47539294392209</v>
      </c>
      <c r="N14" s="72">
        <f t="shared" si="4"/>
        <v>886.15210440792521</v>
      </c>
      <c r="O14" s="72">
        <f>O11*O13</f>
        <v>1096.043559994831</v>
      </c>
      <c r="P14" s="72">
        <f t="shared" si="4"/>
        <v>1256.0066741562387</v>
      </c>
      <c r="Q14" s="72">
        <f t="shared" si="4"/>
        <v>1281.1268076393635</v>
      </c>
    </row>
    <row r="15" spans="1:28" x14ac:dyDescent="0.35">
      <c r="A15" s="100">
        <v>0.3</v>
      </c>
      <c r="B15" s="4" t="s">
        <v>39</v>
      </c>
      <c r="C15" s="82">
        <v>-162.02320400000002</v>
      </c>
      <c r="D15" s="82">
        <v>-56.068584000000008</v>
      </c>
      <c r="E15" s="82">
        <v>-9.3404000000000007</v>
      </c>
      <c r="F15" s="82">
        <v>8.7244630000000001</v>
      </c>
      <c r="G15" s="72">
        <v>-12.20256</v>
      </c>
      <c r="H15" s="72">
        <v>37.406190000000002</v>
      </c>
      <c r="I15" s="72">
        <v>82.554062999999999</v>
      </c>
      <c r="J15" s="72">
        <v>97.300000000000011</v>
      </c>
      <c r="K15" s="72">
        <f>K14*(1-$A$15)</f>
        <v>298.77513255716565</v>
      </c>
      <c r="L15" s="72">
        <f t="shared" ref="L15:Q15" si="5">L14*(1-$A$15)</f>
        <v>388.40767232431523</v>
      </c>
      <c r="M15" s="72">
        <f t="shared" si="5"/>
        <v>484.73277506074544</v>
      </c>
      <c r="N15" s="72">
        <f t="shared" si="5"/>
        <v>620.30647308554762</v>
      </c>
      <c r="O15" s="72">
        <f>O14*(1-$A$15)</f>
        <v>767.2304919963816</v>
      </c>
      <c r="P15" s="72">
        <f t="shared" si="5"/>
        <v>879.20467190936699</v>
      </c>
      <c r="Q15" s="72">
        <f t="shared" si="5"/>
        <v>896.78876534755443</v>
      </c>
    </row>
    <row r="16" spans="1:28" ht="31.5" hidden="1" thickBot="1" x14ac:dyDescent="0.4">
      <c r="A16" s="13" t="s">
        <v>6</v>
      </c>
      <c r="B16" s="14"/>
      <c r="C16" s="15">
        <f t="shared" ref="C16:J16" si="6">C15/C14</f>
        <v>-15.972375690607734</v>
      </c>
      <c r="D16" s="15">
        <f t="shared" si="6"/>
        <v>-1.4132352941176469</v>
      </c>
      <c r="E16" s="15">
        <f t="shared" si="6"/>
        <v>-0.20159151193633956</v>
      </c>
      <c r="F16" s="15">
        <f t="shared" si="6"/>
        <v>0.11382878645343368</v>
      </c>
      <c r="G16" s="15">
        <f t="shared" si="6"/>
        <v>-0.16325933880107465</v>
      </c>
      <c r="H16" s="15">
        <f t="shared" si="6"/>
        <v>0.23408391287666927</v>
      </c>
      <c r="I16" s="15">
        <f t="shared" si="6"/>
        <v>0.32973743441883624</v>
      </c>
      <c r="J16" s="15">
        <f t="shared" si="6"/>
        <v>0.28805541901494475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-9.5109586905689783E-2</v>
      </c>
      <c r="H17" s="72">
        <f t="shared" ref="H17:O17" si="7">H15/H18</f>
        <v>0.29155253312548712</v>
      </c>
      <c r="I17" s="72">
        <f t="shared" si="7"/>
        <v>0.64344554169914259</v>
      </c>
      <c r="J17" s="72">
        <f t="shared" si="7"/>
        <v>0.75837879968823074</v>
      </c>
      <c r="K17" s="72">
        <f t="shared" si="7"/>
        <v>2.3287227790893659</v>
      </c>
      <c r="L17" s="72">
        <f t="shared" si="7"/>
        <v>3.0273396128161747</v>
      </c>
      <c r="M17" s="72">
        <f t="shared" si="7"/>
        <v>3.7781198367945863</v>
      </c>
      <c r="N17" s="72">
        <f t="shared" si="7"/>
        <v>4.8348127286480711</v>
      </c>
      <c r="O17" s="72">
        <f t="shared" si="7"/>
        <v>5.9799726578049999</v>
      </c>
      <c r="P17" s="72">
        <f>P15/P18</f>
        <v>6.8527254240792432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128.30000000000001</v>
      </c>
      <c r="H18" s="72">
        <f>G18*1</f>
        <v>128.30000000000001</v>
      </c>
      <c r="I18" s="72">
        <f t="shared" ref="I18:P18" si="8">H18*1</f>
        <v>128.30000000000001</v>
      </c>
      <c r="J18" s="72">
        <f t="shared" si="8"/>
        <v>128.30000000000001</v>
      </c>
      <c r="K18" s="72">
        <f t="shared" si="8"/>
        <v>128.30000000000001</v>
      </c>
      <c r="L18" s="72">
        <f t="shared" si="8"/>
        <v>128.30000000000001</v>
      </c>
      <c r="M18" s="72">
        <f t="shared" si="8"/>
        <v>128.30000000000001</v>
      </c>
      <c r="N18" s="72">
        <f t="shared" si="8"/>
        <v>128.30000000000001</v>
      </c>
      <c r="O18" s="72">
        <f t="shared" si="8"/>
        <v>128.30000000000001</v>
      </c>
      <c r="P18" s="72">
        <f t="shared" si="8"/>
        <v>128.30000000000001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-11.100805094382533</v>
      </c>
      <c r="H19" s="53">
        <f>H15/(1+$C$55)^2</f>
        <v>30.956405500907771</v>
      </c>
      <c r="I19" s="53">
        <f>I15/(1+$C$55)^3</f>
        <v>62.15113005993463</v>
      </c>
      <c r="J19" s="53">
        <f>J15/(1+$C$55)^4</f>
        <v>66.638765506650174</v>
      </c>
      <c r="K19" s="53">
        <f>K15/(1+$C$55)^5</f>
        <v>186.14958669330306</v>
      </c>
      <c r="L19" s="53">
        <f>L15/(1+$C$55)^6</f>
        <v>220.14506500003989</v>
      </c>
      <c r="M19" s="53">
        <f>M15/(1+$C$55)^7</f>
        <v>249.93499305894912</v>
      </c>
      <c r="N19" s="53">
        <f>N15/(1+$C$55)^8</f>
        <v>290.96082458960558</v>
      </c>
      <c r="O19" s="53">
        <f>O15/(1+$C$55)^9</f>
        <v>327.38410205618175</v>
      </c>
      <c r="P19" s="53">
        <f>P15/(1+$C$55)^10</f>
        <v>341.29132091738484</v>
      </c>
      <c r="Q19" s="54">
        <f>(Q15/(C55-Q12))/(1+C55)^10</f>
        <v>4392.6453922489909</v>
      </c>
    </row>
    <row r="20" spans="1:18" x14ac:dyDescent="0.3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0">
        <f>(I27-I23)*I29</f>
        <v>6.1750000000000013E-2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79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79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79">
        <v>1.9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79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1">
        <f>I23+(I27-I23)*I29</f>
        <v>9.9250000000000005E-2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6" t="s">
        <v>34</v>
      </c>
      <c r="H33" s="22"/>
      <c r="I33" s="77">
        <f>I31</f>
        <v>9.9250000000000005E-2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45164</v>
      </c>
      <c r="D48" s="18" t="s">
        <v>3</v>
      </c>
      <c r="E48" s="19"/>
      <c r="F48" s="20"/>
      <c r="G48" s="21"/>
      <c r="H48" s="21"/>
      <c r="I48" s="21"/>
    </row>
    <row r="49" spans="1:20" x14ac:dyDescent="0.35">
      <c r="A49" s="45" t="s">
        <v>0</v>
      </c>
      <c r="B49" s="46" t="s">
        <v>5</v>
      </c>
      <c r="C49" s="56">
        <f>C50*C51</f>
        <v>6132.74</v>
      </c>
      <c r="D49" s="47">
        <f>SUM(G19:Q19)</f>
        <v>6157.1567805375653</v>
      </c>
      <c r="E49" s="46" t="s">
        <v>42</v>
      </c>
    </row>
    <row r="50" spans="1:20" x14ac:dyDescent="0.35">
      <c r="A50" s="45"/>
      <c r="B50" s="46" t="s">
        <v>11</v>
      </c>
      <c r="C50" s="56">
        <v>128.30000000000001</v>
      </c>
      <c r="D50" s="56">
        <f>C50</f>
        <v>128.30000000000001</v>
      </c>
      <c r="E50" s="46"/>
    </row>
    <row r="51" spans="1:20" x14ac:dyDescent="0.35">
      <c r="A51" s="45"/>
      <c r="B51" s="46" t="s">
        <v>13</v>
      </c>
      <c r="C51" s="87">
        <v>47.8</v>
      </c>
      <c r="D51" s="87">
        <f>D49/(D50)</f>
        <v>47.990310058749529</v>
      </c>
      <c r="E51" s="46" t="s">
        <v>42</v>
      </c>
    </row>
    <row r="52" spans="1:20" x14ac:dyDescent="0.35">
      <c r="A52" s="45"/>
      <c r="B52" s="46" t="s">
        <v>2</v>
      </c>
      <c r="C52" s="46"/>
      <c r="D52" s="57">
        <f>IF(C51/D51-1&gt;0,0,C51/D51-1)*-1</f>
        <v>3.9655934399372983E-3</v>
      </c>
      <c r="E52" s="46"/>
    </row>
    <row r="53" spans="1:20" x14ac:dyDescent="0.35">
      <c r="A53" s="45"/>
      <c r="B53" s="46" t="s">
        <v>14</v>
      </c>
      <c r="C53" s="46"/>
      <c r="D53" s="58">
        <f>IF(C51/D51-1&lt;0,0,C51/D51-1)</f>
        <v>0</v>
      </c>
      <c r="E53" s="46"/>
    </row>
    <row r="54" spans="1:20" x14ac:dyDescent="0.35">
      <c r="A54" s="46"/>
      <c r="B54" s="46"/>
      <c r="C54" s="46"/>
      <c r="D54" s="48"/>
      <c r="E54" s="48"/>
    </row>
    <row r="55" spans="1:20" x14ac:dyDescent="0.3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20" x14ac:dyDescent="0.35">
      <c r="A56" s="48"/>
      <c r="B56" s="46"/>
      <c r="C56" s="50"/>
      <c r="D56" s="49"/>
      <c r="E56" s="46"/>
    </row>
    <row r="57" spans="1:20" hidden="1" x14ac:dyDescent="0.35">
      <c r="A57" s="48" t="s">
        <v>22</v>
      </c>
      <c r="B57" s="73">
        <v>0.108</v>
      </c>
      <c r="C57" s="50"/>
      <c r="D57" s="74">
        <f>SUM(H57:Q57)*1000</f>
        <v>5002243.148292657</v>
      </c>
      <c r="E57" s="46"/>
      <c r="F57" s="1" t="s">
        <v>23</v>
      </c>
      <c r="H57" s="1">
        <f>G15/(1+$B$57)</f>
        <v>-11.013140794223826</v>
      </c>
      <c r="I57" s="1">
        <f>H15/(1+$B$57)^2</f>
        <v>30.469403680485861</v>
      </c>
      <c r="J57" s="1">
        <f>I15/(1+$B$57)^3</f>
        <v>60.690284211162215</v>
      </c>
      <c r="K57" s="1">
        <f>J15/(1+$B$57)^4</f>
        <v>64.558554642373622</v>
      </c>
      <c r="L57" s="1">
        <f>K15/(1+$B$57)^5</f>
        <v>178.91454395922949</v>
      </c>
      <c r="M57" s="1">
        <f>L15/(1+$B$57)^6</f>
        <v>209.91778623375291</v>
      </c>
      <c r="N57" s="1">
        <f>M15/(1+$B$57)^7</f>
        <v>236.44169424162783</v>
      </c>
      <c r="O57" s="1">
        <f>N15/(1+$B$57)^8</f>
        <v>273.07895360995758</v>
      </c>
      <c r="P57" s="1">
        <f>O15/(1+$B$57)^9</f>
        <v>304.83723315562304</v>
      </c>
      <c r="Q57" s="1">
        <f>(Q15/(B57-Q12))/(1+B57)^10</f>
        <v>3654.3478353526684</v>
      </c>
    </row>
    <row r="58" spans="1:20" ht="16" thickBot="1" x14ac:dyDescent="0.4">
      <c r="A58" s="22"/>
      <c r="C58" s="65"/>
      <c r="D58" s="66"/>
    </row>
    <row r="59" spans="1:20" x14ac:dyDescent="0.35">
      <c r="A59" s="59" t="s">
        <v>44</v>
      </c>
      <c r="B59" s="23"/>
      <c r="C59" s="67">
        <v>18</v>
      </c>
      <c r="D59" s="23"/>
      <c r="E59" s="24"/>
    </row>
    <row r="60" spans="1:20" x14ac:dyDescent="0.35">
      <c r="A60" s="25" t="s">
        <v>21</v>
      </c>
      <c r="C60" s="68"/>
      <c r="D60" s="68"/>
      <c r="E60" s="26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x14ac:dyDescent="0.35">
      <c r="A61" s="25"/>
      <c r="C61" s="68"/>
      <c r="E61" s="26"/>
    </row>
    <row r="62" spans="1:20" x14ac:dyDescent="0.35">
      <c r="A62" s="25" t="s">
        <v>37</v>
      </c>
      <c r="C62" s="68"/>
      <c r="E62" s="60">
        <f>P17*C59</f>
        <v>123.34905763342638</v>
      </c>
    </row>
    <row r="63" spans="1:20" x14ac:dyDescent="0.35">
      <c r="A63" s="25"/>
      <c r="C63" s="68"/>
      <c r="E63" s="26"/>
    </row>
    <row r="64" spans="1:20" x14ac:dyDescent="0.35">
      <c r="A64" s="25" t="s">
        <v>17</v>
      </c>
      <c r="C64" s="69">
        <v>0.25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7.099990081709902</v>
      </c>
    </row>
    <row r="67" spans="1:5" x14ac:dyDescent="0.35">
      <c r="A67" s="25"/>
      <c r="E67" s="61"/>
    </row>
    <row r="68" spans="1:5" x14ac:dyDescent="0.35">
      <c r="A68" s="103" t="s">
        <v>45</v>
      </c>
      <c r="E68" s="104">
        <f>(E66*0.25)*-1</f>
        <v>-1.7749975204274755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46</v>
      </c>
      <c r="E70" s="60">
        <f>SUM(E62:E68)</f>
        <v>128.67405019470883</v>
      </c>
    </row>
    <row r="71" spans="1:5" x14ac:dyDescent="0.35">
      <c r="A71" s="25"/>
      <c r="E71" s="60"/>
    </row>
    <row r="72" spans="1:5" x14ac:dyDescent="0.35">
      <c r="A72" s="25" t="s">
        <v>47</v>
      </c>
      <c r="E72" s="62">
        <f>E70/C51-1</f>
        <v>1.6919257362909796</v>
      </c>
    </row>
    <row r="73" spans="1:5" x14ac:dyDescent="0.35">
      <c r="A73" s="25"/>
      <c r="E73" s="26"/>
    </row>
    <row r="74" spans="1:5" ht="16" thickBot="1" x14ac:dyDescent="0.4">
      <c r="A74" s="63" t="s">
        <v>48</v>
      </c>
      <c r="B74" s="64"/>
      <c r="C74" s="64"/>
      <c r="D74" s="64"/>
      <c r="E74" s="102">
        <f>(E70/C51)^(1/10)-1</f>
        <v>0.10409465506001103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3" priority="5" percent="1" rank="10"/>
  </conditionalFormatting>
  <conditionalFormatting sqref="L2:L5">
    <cfRule type="top10" dxfId="2" priority="3" percent="1" rank="10"/>
  </conditionalFormatting>
  <conditionalFormatting sqref="L6:L8">
    <cfRule type="top10" dxfId="1" priority="6" percent="1" rank="10"/>
  </conditionalFormatting>
  <conditionalFormatting sqref="L9">
    <cfRule type="top10" dxfId="0" priority="4" percent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2023-08-26T07:36:27Z</dcterms:modified>
</cp:coreProperties>
</file>