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65AC5F10-477F-4521-BB9C-BED586807CAD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35" l="1"/>
  <c r="I18" i="35" s="1"/>
  <c r="J18" i="35" s="1"/>
  <c r="K18" i="35" s="1"/>
  <c r="L18" i="35" s="1"/>
  <c r="M18" i="35" s="1"/>
  <c r="N18" i="35" s="1"/>
  <c r="O18" i="35" s="1"/>
  <c r="P18" i="35" s="1"/>
  <c r="H18" i="32"/>
  <c r="I18" i="32" s="1"/>
  <c r="J18" i="32" s="1"/>
  <c r="K18" i="32" s="1"/>
  <c r="L18" i="32" s="1"/>
  <c r="M18" i="32" s="1"/>
  <c r="N18" i="32" s="1"/>
  <c r="O18" i="32" s="1"/>
  <c r="P18" i="32" s="1"/>
  <c r="I18" i="34"/>
  <c r="J18" i="34" s="1"/>
  <c r="K18" i="34" s="1"/>
  <c r="L18" i="34" s="1"/>
  <c r="M18" i="34" s="1"/>
  <c r="N18" i="34" s="1"/>
  <c r="O18" i="34" s="1"/>
  <c r="P18" i="34" s="1"/>
  <c r="H18" i="34"/>
  <c r="J11" i="34"/>
  <c r="G11" i="35"/>
  <c r="J11" i="32"/>
  <c r="H12" i="35" l="1"/>
  <c r="H11" i="35" s="1"/>
  <c r="H12" i="34" l="1"/>
  <c r="I12" i="34"/>
  <c r="H12" i="32"/>
  <c r="I12" i="32"/>
  <c r="I12" i="35" l="1"/>
  <c r="D50" i="35"/>
  <c r="C49" i="35"/>
  <c r="I31" i="35"/>
  <c r="I33" i="35" s="1"/>
  <c r="D46" i="35" s="1"/>
  <c r="C55" i="35" s="1"/>
  <c r="I25" i="35"/>
  <c r="G18" i="35"/>
  <c r="F14" i="35"/>
  <c r="F16" i="35" s="1"/>
  <c r="E14" i="35"/>
  <c r="E16" i="35" s="1"/>
  <c r="D14" i="35"/>
  <c r="D16" i="35" s="1"/>
  <c r="C14" i="35"/>
  <c r="C16" i="35" s="1"/>
  <c r="F12" i="35"/>
  <c r="E12" i="35"/>
  <c r="D12" i="35"/>
  <c r="J12" i="35" l="1"/>
  <c r="K12" i="35" s="1"/>
  <c r="L12" i="35" s="1"/>
  <c r="M12" i="35" s="1"/>
  <c r="N12" i="35" s="1"/>
  <c r="O12" i="35" s="1"/>
  <c r="I11" i="35"/>
  <c r="J11" i="35" l="1"/>
  <c r="K11" i="35" s="1"/>
  <c r="L11" i="35" s="1"/>
  <c r="D14" i="34"/>
  <c r="E14" i="34"/>
  <c r="F14" i="34"/>
  <c r="G14" i="34"/>
  <c r="H14" i="34"/>
  <c r="C14" i="34"/>
  <c r="D50" i="34" l="1"/>
  <c r="D50" i="32"/>
  <c r="G18" i="34"/>
  <c r="G18" i="32"/>
  <c r="G14" i="32" l="1"/>
  <c r="H14" i="32"/>
  <c r="I14" i="32"/>
  <c r="D14" i="32"/>
  <c r="E14" i="32"/>
  <c r="F14" i="32"/>
  <c r="C14" i="32"/>
  <c r="I25" i="32" l="1"/>
  <c r="G12" i="34" l="1"/>
  <c r="E12" i="34"/>
  <c r="F12" i="34"/>
  <c r="D12" i="34"/>
  <c r="D12" i="32" l="1"/>
  <c r="E12" i="32"/>
  <c r="F12" i="32"/>
  <c r="G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4" i="34" l="1"/>
  <c r="I19" i="34" l="1"/>
  <c r="I17" i="34"/>
  <c r="J57" i="34"/>
  <c r="I16" i="34"/>
  <c r="J14" i="34"/>
  <c r="J15" i="34" s="1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J14" i="32"/>
  <c r="J15" i="32" s="1"/>
  <c r="E74" i="34" l="1"/>
  <c r="K11" i="32"/>
  <c r="J19" i="32" l="1"/>
  <c r="K57" i="32"/>
  <c r="J17" i="32"/>
  <c r="J16" i="32"/>
  <c r="L11" i="32"/>
  <c r="K14" i="32"/>
  <c r="K15" i="32" s="1"/>
  <c r="K19" i="32" l="1"/>
  <c r="L57" i="32"/>
  <c r="K17" i="32"/>
  <c r="M11" i="32"/>
  <c r="L14" i="32"/>
  <c r="L15" i="32" s="1"/>
  <c r="M57" i="32" l="1"/>
  <c r="L17" i="32"/>
  <c r="L19" i="32"/>
  <c r="M14" i="32"/>
  <c r="M15" i="32" s="1"/>
  <c r="N11" i="32"/>
  <c r="M17" i="32" l="1"/>
  <c r="N57" i="32"/>
  <c r="M19" i="32"/>
  <c r="N14" i="32"/>
  <c r="N15" i="32" s="1"/>
  <c r="O11" i="32"/>
  <c r="O57" i="32" l="1"/>
  <c r="N17" i="32"/>
  <c r="N19" i="32"/>
  <c r="O14" i="32"/>
  <c r="O15" i="32" s="1"/>
  <c r="P11" i="32"/>
  <c r="Q11" i="32" l="1"/>
  <c r="Q14" i="32" s="1"/>
  <c r="Q15" i="32" s="1"/>
  <c r="P14" i="32"/>
  <c r="P15" i="32" s="1"/>
  <c r="O19" i="32"/>
  <c r="P57" i="32"/>
  <c r="O17" i="32"/>
  <c r="D40" i="32" l="1"/>
  <c r="D41" i="32"/>
  <c r="P19" i="32"/>
  <c r="P17" i="32"/>
  <c r="D44" i="32"/>
  <c r="Q19" i="32"/>
  <c r="Q57" i="32"/>
  <c r="D57" i="32" s="1"/>
  <c r="D43" i="32"/>
  <c r="D42" i="32"/>
  <c r="D49" i="32" l="1"/>
  <c r="D51" i="32" s="1"/>
  <c r="E62" i="32"/>
  <c r="E66" i="32"/>
  <c r="E68" i="32" s="1"/>
  <c r="E70" i="32" l="1"/>
  <c r="D52" i="32"/>
  <c r="D53" i="32"/>
  <c r="E72" i="32" l="1"/>
  <c r="E74" i="32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<sst xmlns="http://schemas.openxmlformats.org/spreadsheetml/2006/main" count="148" uniqueCount="49">
  <si>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</si>
  <si>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</si>
  <si>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</si>
  <si>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</si>
  <si>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</si>
  <si>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</si>
  <si>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</si>
  <si>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</si>
  <si>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</si>
  <si>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</si>
  <si>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</si>
  <si>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</si>
  <si>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</si>
  <si>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</si>
  <si>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</si>
  <si>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</si>
  <si>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</si>
  <si>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</si>
  <si>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</si>
  <si>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</si>
  <si>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</si>
  <si>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</si>
  <si>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</si>
  <si>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</si>
  <si>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</si>
  <si>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</si>
  <si>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</si>
  <si>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</si>
  <si>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</si>
  <si>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</si>
  <si>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</si>
  <si>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</si>
  <si>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</si>
  <si>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</si>
  <si>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</si>
  <si>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</si>
  <si>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</si>
  <si>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</si>
  <si>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</si>
  <si>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</si>
  <si>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</si>
  <si>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</si>
  <si>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 xml:space="preserve"> Annahmen für Nynomic</t>
  </si>
  <si>
    <t>EUR</t>
  </si>
  <si>
    <t>KGV Multiple in 2032</t>
  </si>
  <si>
    <t>Kapitalertragssteuer DE (25 %)</t>
  </si>
  <si>
    <t>Gesamtwert 2032</t>
  </si>
  <si>
    <t>Steigerung Gesamt bis 2032 in Prozent</t>
  </si>
  <si>
    <t>Renditeerwartung bis 2032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</si>
</sst>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9157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34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42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64.86</v>
      </c>
      <c r="D11" s="82">
        <v>78.56</v>
      </c>
      <c r="E11" s="82">
        <v>105.08</v>
      </c>
      <c r="F11" s="82">
        <v>116.79</v>
      </c>
      <c r="G11" s="72">
        <v>129.69</v>
      </c>
      <c r="H11" s="72">
        <v>152.59</v>
      </c>
      <c r="I11" s="72">
        <v>176.29</v>
      </c>
      <c r="J11" s="72">
        <f>I11*(1+J12)</f>
        <v>189.51174999999998</v>
      </c>
      <c r="K11" s="72">
        <f>J11*(1+K12)</f>
        <v>198.9873375</v>
      </c>
      <c r="L11" s="72">
        <f t="shared" ref="L11:Q11" si="0">K11*(1+L12)</f>
        <v>206.946831</v>
      </c>
      <c r="M11" s="72">
        <f t="shared" si="0"/>
        <v>214.189970085</v>
      </c>
      <c r="N11" s="72">
        <f t="shared" si="0"/>
        <v>220.61566918755</v>
      </c>
      <c r="O11" s="72">
        <f t="shared" si="0"/>
        <v>226.13106091723873</v>
      </c>
      <c r="P11" s="72">
        <f t="shared" si="0"/>
        <v>230.65368213558349</v>
      </c>
      <c r="Q11" s="72">
        <f t="shared" si="0"/>
        <v>234.11348736761721</v>
      </c>
    </row>
    <row r="12" spans="1:28" x14ac:dyDescent="0.25">
      <c r="A12" s="5"/>
      <c r="B12" s="4" t="s">
        <v>1</v>
      </c>
      <c r="C12" s="86"/>
      <c r="D12" s="89">
        <f t="shared" ref="D12:I12" si="1">D11/C11-1</f>
        <v>0.21122417514646941</v>
      </c>
      <c r="E12" s="89">
        <f t="shared" si="1"/>
        <v>0.33757637474541746</v>
      </c>
      <c r="F12" s="89">
        <f t="shared" si="1"/>
        <v>0.11143890369242482</v>
      </c>
      <c r="G12" s="85">
        <f t="shared" si="1"/>
        <v>0.11045466221423061</v>
      </c>
      <c r="H12" s="85">
        <f t="shared" si="1"/>
        <v>0.17657490939933695</v>
      </c>
      <c r="I12" s="85">
        <f t="shared" si="1"/>
        <v>0.15531817288157801</v>
      </c>
      <c r="J12" s="71">
        <v>7.4999999999999997E-2</v>
      </c>
      <c r="K12" s="71">
        <v>0.05</v>
      </c>
      <c r="L12" s="71">
        <v>0.04</v>
      </c>
      <c r="M12" s="71">
        <v>3.5000000000000003E-2</v>
      </c>
      <c r="N12" s="71">
        <v>0.03</v>
      </c>
      <c r="O12" s="71">
        <v>2.5000000000000001E-2</v>
      </c>
      <c r="P12" s="71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8.6900000000000005E-2</v>
      </c>
      <c r="D13" s="88">
        <v>9.3299999999999994E-2</v>
      </c>
      <c r="E13" s="88">
        <v>0.1128</v>
      </c>
      <c r="F13" s="88">
        <v>0.1215</v>
      </c>
      <c r="G13" s="84">
        <v>0.128</v>
      </c>
      <c r="H13" s="84">
        <v>0.154</v>
      </c>
      <c r="I13" s="84">
        <v>0.17979999999999999</v>
      </c>
      <c r="J13" s="84">
        <v>0.17499999999999999</v>
      </c>
      <c r="K13" s="84">
        <v>0.17</v>
      </c>
      <c r="L13" s="84">
        <v>0.16500000000000001</v>
      </c>
      <c r="M13" s="84">
        <v>0.16</v>
      </c>
      <c r="N13" s="84">
        <v>0.155</v>
      </c>
      <c r="O13" s="84">
        <v>0.155</v>
      </c>
      <c r="P13" s="84">
        <v>0.15</v>
      </c>
      <c r="Q13" s="84">
        <v>0.15</v>
      </c>
    </row>
    <row r="14" spans="1:28" ht="17.100000000000001" customHeight="1" x14ac:dyDescent="0.25">
      <c r="A14" s="5"/>
      <c r="B14" s="4" t="s">
        <v>16</v>
      </c>
      <c r="C14" s="82">
        <f>C11*C13</f>
        <v>5.6363340000000006</v>
      </c>
      <c r="D14" s="82">
        <f t="shared" ref="D14:I14" si="2">D11*D13</f>
        <v>7.3296479999999997</v>
      </c>
      <c r="E14" s="82">
        <f t="shared" si="2"/>
        <v>11.853024</v>
      </c>
      <c r="F14" s="82">
        <f t="shared" si="2"/>
        <v>14.189985</v>
      </c>
      <c r="G14" s="72">
        <f t="shared" si="2"/>
        <v>16.60032</v>
      </c>
      <c r="H14" s="72">
        <f t="shared" si="2"/>
        <v>23.498860000000001</v>
      </c>
      <c r="I14" s="72">
        <f t="shared" si="2"/>
        <v>31.696941999999996</v>
      </c>
      <c r="J14" s="72">
        <f>J11*J13</f>
        <v>33.164556249999997</v>
      </c>
      <c r="K14" s="72">
        <f t="shared" ref="K14:Q14" si="3">K11*K13</f>
        <v>33.827847375000005</v>
      </c>
      <c r="L14" s="72">
        <f t="shared" si="3"/>
        <v>34.146227115000002</v>
      </c>
      <c r="M14" s="72">
        <f t="shared" si="3"/>
        <v>34.270395213600004</v>
      </c>
      <c r="N14" s="72">
        <f t="shared" si="3"/>
        <v>34.195428724070247</v>
      </c>
      <c r="O14" s="72">
        <f t="shared" si="3"/>
        <v>35.050314442172002</v>
      </c>
      <c r="P14" s="72">
        <f>P11*P13</f>
        <v>34.598052320337523</v>
      </c>
      <c r="Q14" s="72">
        <f t="shared" si="3"/>
        <v>35.117023105142579</v>
      </c>
    </row>
    <row r="15" spans="1:28" x14ac:dyDescent="0.25">
      <c r="A15" s="100">
        <v>0.45</v>
      </c>
      <c r="B15" s="4" t="s">
        <v>39</v>
      </c>
      <c r="C15" s="82">
        <v>4.4234520000000002</v>
      </c>
      <c r="D15" s="82">
        <v>4.3757919999999997</v>
      </c>
      <c r="E15" s="82">
        <v>7.8494760000000001</v>
      </c>
      <c r="F15" s="82">
        <v>7.4512020000000003</v>
      </c>
      <c r="G15" s="72">
        <v>8.403912</v>
      </c>
      <c r="H15" s="72">
        <v>12.603934000000001</v>
      </c>
      <c r="I15" s="72">
        <v>17.999208999999997</v>
      </c>
      <c r="J15" s="72">
        <f>J14*(1-$A$15)</f>
        <v>18.2405059375</v>
      </c>
      <c r="K15" s="72">
        <f>K14*(1-$A$15)</f>
        <v>18.605316056250004</v>
      </c>
      <c r="L15" s="72">
        <f t="shared" ref="L15:Q15" si="4">L14*(1-$A$15)</f>
        <v>18.780424913250002</v>
      </c>
      <c r="M15" s="72">
        <f t="shared" si="4"/>
        <v>18.848717367480003</v>
      </c>
      <c r="N15" s="72">
        <f t="shared" si="4"/>
        <v>18.807485798238638</v>
      </c>
      <c r="O15" s="72">
        <f t="shared" si="4"/>
        <v>19.277672943194602</v>
      </c>
      <c r="P15" s="72">
        <f>P14*(1-$A$15)</f>
        <v>19.028928776185641</v>
      </c>
      <c r="Q15" s="72">
        <f t="shared" si="4"/>
        <v>19.314362707828419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0.78481012658227844</v>
      </c>
      <c r="D16" s="15">
        <f t="shared" si="5"/>
        <v>0.59699892818863876</v>
      </c>
      <c r="E16" s="15">
        <f t="shared" si="5"/>
        <v>0.66223404255319152</v>
      </c>
      <c r="F16" s="15">
        <f t="shared" si="5"/>
        <v>0.52510288065843624</v>
      </c>
      <c r="G16" s="15">
        <f t="shared" si="5"/>
        <v>0.50624999999999998</v>
      </c>
      <c r="H16" s="15">
        <f t="shared" si="5"/>
        <v>0.53636363636363638</v>
      </c>
      <c r="I16" s="15">
        <f t="shared" si="5"/>
        <v>0.56785317018909898</v>
      </c>
      <c r="J16" s="15">
        <f t="shared" si="5"/>
        <v>0.55000000000000004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1.4243918644067797</v>
      </c>
      <c r="H17" s="72">
        <f t="shared" ref="H17:P17" si="6">H15/H18</f>
        <v>2.13626</v>
      </c>
      <c r="I17" s="72">
        <f t="shared" si="6"/>
        <v>3.0507133898305079</v>
      </c>
      <c r="J17" s="72">
        <f t="shared" si="6"/>
        <v>3.0916111758474574</v>
      </c>
      <c r="K17" s="72">
        <f t="shared" si="6"/>
        <v>3.1534433993644071</v>
      </c>
      <c r="L17" s="72">
        <f t="shared" si="6"/>
        <v>3.1831228666525426</v>
      </c>
      <c r="M17" s="72">
        <f t="shared" si="6"/>
        <v>3.1946978588949153</v>
      </c>
      <c r="N17" s="72">
        <f t="shared" si="6"/>
        <v>3.1877094573285825</v>
      </c>
      <c r="O17" s="72">
        <f t="shared" si="6"/>
        <v>3.267402193761797</v>
      </c>
      <c r="P17" s="72">
        <f t="shared" si="6"/>
        <v>3.2252421654551933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5.9</v>
      </c>
      <c r="H18" s="72">
        <f>G18*1</f>
        <v>5.9</v>
      </c>
      <c r="I18" s="72">
        <f t="shared" ref="I18:P18" si="7">H18*1</f>
        <v>5.9</v>
      </c>
      <c r="J18" s="72">
        <f t="shared" si="7"/>
        <v>5.9</v>
      </c>
      <c r="K18" s="72">
        <f t="shared" si="7"/>
        <v>5.9</v>
      </c>
      <c r="L18" s="72">
        <f t="shared" si="7"/>
        <v>5.9</v>
      </c>
      <c r="M18" s="72">
        <f t="shared" si="7"/>
        <v>5.9</v>
      </c>
      <c r="N18" s="72">
        <f t="shared" si="7"/>
        <v>5.9</v>
      </c>
      <c r="O18" s="72">
        <f t="shared" si="7"/>
        <v>5.9</v>
      </c>
      <c r="P18" s="72">
        <f t="shared" si="7"/>
        <v>5.9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7.6451325904025467</v>
      </c>
      <c r="H19" s="53">
        <f>H15/(1+$C$55)^2</f>
        <v>10.43069320373656</v>
      </c>
      <c r="I19" s="53">
        <f>I15/(1+$C$55)^3</f>
        <v>13.550770717789455</v>
      </c>
      <c r="J19" s="53">
        <f>J15/(1+$C$55)^4</f>
        <v>12.492546740922123</v>
      </c>
      <c r="K19" s="53">
        <f>K15/(1+$C$55)^5</f>
        <v>11.59190145621157</v>
      </c>
      <c r="L19" s="53">
        <f>L15/(1+$C$55)^6</f>
        <v>10.644531912859863</v>
      </c>
      <c r="M19" s="53">
        <f>M15/(1+$C$55)^7</f>
        <v>9.7186620892735043</v>
      </c>
      <c r="N19" s="53">
        <f>N15/(1+$C$55)^8</f>
        <v>8.821835356791647</v>
      </c>
      <c r="O19" s="53">
        <f>O15/(1+$C$55)^9</f>
        <v>8.2259551882751296</v>
      </c>
      <c r="P19" s="53">
        <f>P15/(1+$C$55)^10</f>
        <v>7.38668531362935</v>
      </c>
      <c r="Q19" s="54">
        <f>(Q15/(C55-Q12))/(1+C55)^10</f>
        <v>88.990926923843176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45157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184.67000000000002</v>
      </c>
      <c r="D49" s="47">
        <f>SUM(G19:Q19)</f>
        <v>189.49964149373494</v>
      </c>
      <c r="E49" s="46" t="s">
        <v>43</v>
      </c>
    </row>
    <row r="50" spans="1:17" x14ac:dyDescent="0.25">
      <c r="A50" s="45"/>
      <c r="B50" s="46" t="s">
        <v>11</v>
      </c>
      <c r="C50" s="56">
        <v>5.9</v>
      </c>
      <c r="D50" s="56">
        <f>C50</f>
        <v>5.9</v>
      </c>
      <c r="E50" s="46"/>
    </row>
    <row r="51" spans="1:17" x14ac:dyDescent="0.25">
      <c r="A51" s="45"/>
      <c r="B51" s="46" t="s">
        <v>13</v>
      </c>
      <c r="C51" s="87">
        <v>31.3</v>
      </c>
      <c r="D51" s="56">
        <f>D49/(D50)</f>
        <v>32.11858330402287</v>
      </c>
      <c r="E51" s="46" t="s">
        <v>43</v>
      </c>
    </row>
    <row r="52" spans="1:17" x14ac:dyDescent="0.25">
      <c r="A52" s="45"/>
      <c r="B52" s="46" t="s">
        <v>2</v>
      </c>
      <c r="C52" s="46"/>
      <c r="D52" s="57">
        <f>IF(C51/D51-1&gt;0,0,C51/D51-1)*-1</f>
        <v>2.5486283011752264E-2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164083.82235077128</v>
      </c>
      <c r="E57" s="46"/>
      <c r="F57" s="1" t="s">
        <v>23</v>
      </c>
      <c r="H57" s="1">
        <f>G15/(1+$B$57)</f>
        <v>7.5847581227436818</v>
      </c>
      <c r="I57" s="1">
        <f>H15/(1+$B$57)^2</f>
        <v>10.266599004287816</v>
      </c>
      <c r="J57" s="1">
        <f>I15/(1+$B$57)^3</f>
        <v>13.232263441547495</v>
      </c>
      <c r="K57" s="1">
        <f>J15/(1+$B$57)^4</f>
        <v>12.102576559821522</v>
      </c>
      <c r="L57" s="1">
        <f>K15/(1+$B$57)^5</f>
        <v>11.141361092976492</v>
      </c>
      <c r="M57" s="1">
        <f>L15/(1+$B$57)^6</f>
        <v>10.150018918850954</v>
      </c>
      <c r="N57" s="1">
        <f>M15/(1+$B$57)^7</f>
        <v>9.1939784102489757</v>
      </c>
      <c r="O57" s="1">
        <f>N15/(1+$B$57)^8</f>
        <v>8.2796629805745052</v>
      </c>
      <c r="P57" s="1">
        <f>O15/(1+$B$57)^9</f>
        <v>7.6594355190332726</v>
      </c>
      <c r="Q57" s="1">
        <f>(Q15/(B57-Q12))/(1+B57)^10</f>
        <v>74.473168300686567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44</v>
      </c>
      <c r="B59" s="23"/>
      <c r="C59" s="67">
        <v>12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38.702905985462323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45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46</v>
      </c>
      <c r="E70" s="60">
        <f>SUM(E62:E68)</f>
        <v>38.702905985462323</v>
      </c>
    </row>
    <row r="71" spans="1:5" x14ac:dyDescent="0.25">
      <c r="A71" s="25"/>
      <c r="E71" s="60"/>
    </row>
    <row r="72" spans="1:5" x14ac:dyDescent="0.25">
      <c r="A72" s="25" t="s">
        <v>47</v>
      </c>
      <c r="E72" s="62">
        <f>E70/C51-1</f>
        <v>0.23651456822563333</v>
      </c>
    </row>
    <row r="73" spans="1:5" x14ac:dyDescent="0.25">
      <c r="A73" s="25"/>
      <c r="E73" s="26"/>
    </row>
    <row r="74" spans="1:5" ht="16.5" thickBot="1" x14ac:dyDescent="0.3">
      <c r="A74" s="63" t="s">
        <v>48</v>
      </c>
      <c r="B74" s="64"/>
      <c r="C74" s="64"/>
      <c r="D74" s="64"/>
      <c r="E74" s="102">
        <f>(E70/C51)^(1/10)-1</f>
        <v>2.1456611378878998E-2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6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42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64.86</v>
      </c>
      <c r="D11" s="82">
        <v>78.56</v>
      </c>
      <c r="E11" s="82">
        <v>105.08</v>
      </c>
      <c r="F11" s="82">
        <v>116.79</v>
      </c>
      <c r="G11" s="72">
        <v>129.69</v>
      </c>
      <c r="H11" s="72">
        <v>152.59</v>
      </c>
      <c r="I11" s="72">
        <v>176.29</v>
      </c>
      <c r="J11" s="72">
        <f>I11*(1+J12)</f>
        <v>193.91900000000001</v>
      </c>
      <c r="K11" s="72">
        <f>J11*(1+K12)</f>
        <v>207.49333000000001</v>
      </c>
      <c r="L11" s="72">
        <f t="shared" ref="L11:Q11" si="0">K11*(1+L12)</f>
        <v>218.90546315</v>
      </c>
      <c r="M11" s="72">
        <f t="shared" si="0"/>
        <v>228.75620899174999</v>
      </c>
      <c r="N11" s="72">
        <f t="shared" si="0"/>
        <v>237.90645735141999</v>
      </c>
      <c r="O11" s="72">
        <f t="shared" si="0"/>
        <v>246.23318335871966</v>
      </c>
      <c r="P11" s="72">
        <f t="shared" si="0"/>
        <v>253.62017885948126</v>
      </c>
      <c r="Q11" s="72">
        <f t="shared" si="0"/>
        <v>258.69258243667088</v>
      </c>
    </row>
    <row r="12" spans="1:28" x14ac:dyDescent="0.25">
      <c r="A12" s="5"/>
      <c r="B12" s="4" t="s">
        <v>1</v>
      </c>
      <c r="C12" s="89"/>
      <c r="D12" s="89">
        <f t="shared" ref="D12:I12" si="1">D11/C11-1</f>
        <v>0.21122417514646941</v>
      </c>
      <c r="E12" s="89">
        <f t="shared" si="1"/>
        <v>0.33757637474541746</v>
      </c>
      <c r="F12" s="89">
        <f t="shared" si="1"/>
        <v>0.11143890369242482</v>
      </c>
      <c r="G12" s="85">
        <f t="shared" si="1"/>
        <v>0.11045466221423061</v>
      </c>
      <c r="H12" s="85">
        <f t="shared" si="1"/>
        <v>0.17657490939933695</v>
      </c>
      <c r="I12" s="85">
        <f t="shared" si="1"/>
        <v>0.15531817288157801</v>
      </c>
      <c r="J12" s="85">
        <v>0.1</v>
      </c>
      <c r="K12" s="85">
        <v>7.0000000000000007E-2</v>
      </c>
      <c r="L12" s="71">
        <v>5.5E-2</v>
      </c>
      <c r="M12" s="71">
        <v>4.4999999999999998E-2</v>
      </c>
      <c r="N12" s="71">
        <v>0.04</v>
      </c>
      <c r="O12" s="71">
        <v>3.5000000000000003E-2</v>
      </c>
      <c r="P12" s="71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8.6900000000000005E-2</v>
      </c>
      <c r="D13" s="88">
        <v>9.3299999999999994E-2</v>
      </c>
      <c r="E13" s="88">
        <v>0.1128</v>
      </c>
      <c r="F13" s="88">
        <v>0.1215</v>
      </c>
      <c r="G13" s="84">
        <v>0.128</v>
      </c>
      <c r="H13" s="84">
        <v>0.154</v>
      </c>
      <c r="I13" s="84">
        <v>0.17979999999999999</v>
      </c>
      <c r="J13" s="84">
        <v>0.18</v>
      </c>
      <c r="K13" s="84">
        <v>0.18</v>
      </c>
      <c r="L13" s="84">
        <v>0.18</v>
      </c>
      <c r="M13" s="84">
        <v>0.18</v>
      </c>
      <c r="N13" s="84">
        <v>0.18</v>
      </c>
      <c r="O13" s="84">
        <v>0.18</v>
      </c>
      <c r="P13" s="84">
        <v>0.18</v>
      </c>
      <c r="Q13" s="84">
        <v>0.18</v>
      </c>
    </row>
    <row r="14" spans="1:28" ht="17.100000000000001" customHeight="1" x14ac:dyDescent="0.25">
      <c r="A14" s="5"/>
      <c r="B14" s="4" t="s">
        <v>16</v>
      </c>
      <c r="C14" s="82">
        <f t="shared" ref="C14:J14" si="2">C11*C13</f>
        <v>5.6363340000000006</v>
      </c>
      <c r="D14" s="82">
        <f t="shared" si="2"/>
        <v>7.3296479999999997</v>
      </c>
      <c r="E14" s="82">
        <f t="shared" si="2"/>
        <v>11.853024</v>
      </c>
      <c r="F14" s="82">
        <f t="shared" si="2"/>
        <v>14.189985</v>
      </c>
      <c r="G14" s="72">
        <f t="shared" si="2"/>
        <v>16.60032</v>
      </c>
      <c r="H14" s="72">
        <f t="shared" si="2"/>
        <v>23.498860000000001</v>
      </c>
      <c r="I14" s="72">
        <f t="shared" si="2"/>
        <v>31.696941999999996</v>
      </c>
      <c r="J14" s="72">
        <f t="shared" si="2"/>
        <v>34.905419999999999</v>
      </c>
      <c r="K14" s="72">
        <f t="shared" ref="K14:Q14" si="3">K11*K13</f>
        <v>37.348799400000004</v>
      </c>
      <c r="L14" s="72">
        <f t="shared" si="3"/>
        <v>39.402983366999997</v>
      </c>
      <c r="M14" s="72">
        <f t="shared" si="3"/>
        <v>41.176117618514994</v>
      </c>
      <c r="N14" s="72">
        <f t="shared" si="3"/>
        <v>42.823162323255595</v>
      </c>
      <c r="O14" s="72">
        <f>O11*O13</f>
        <v>44.321973004569536</v>
      </c>
      <c r="P14" s="72">
        <f t="shared" si="3"/>
        <v>45.651632194706622</v>
      </c>
      <c r="Q14" s="72">
        <f t="shared" si="3"/>
        <v>46.564664838600756</v>
      </c>
    </row>
    <row r="15" spans="1:28" x14ac:dyDescent="0.25">
      <c r="A15" s="100">
        <v>0.4</v>
      </c>
      <c r="B15" s="4" t="s">
        <v>39</v>
      </c>
      <c r="C15" s="82">
        <v>4.4234520000000002</v>
      </c>
      <c r="D15" s="82">
        <v>4.3757919999999997</v>
      </c>
      <c r="E15" s="82">
        <v>7.8494760000000001</v>
      </c>
      <c r="F15" s="82">
        <v>7.4512020000000003</v>
      </c>
      <c r="G15" s="72">
        <v>8.403912</v>
      </c>
      <c r="H15" s="72">
        <v>12.603934000000001</v>
      </c>
      <c r="I15" s="72">
        <v>17.999208999999997</v>
      </c>
      <c r="J15" s="72">
        <f t="shared" ref="J15:Q15" si="4">J14*(1-$A$15)</f>
        <v>20.943251999999998</v>
      </c>
      <c r="K15" s="72">
        <f t="shared" si="4"/>
        <v>22.409279640000001</v>
      </c>
      <c r="L15" s="72">
        <f t="shared" si="4"/>
        <v>23.641790020199998</v>
      </c>
      <c r="M15" s="72">
        <f t="shared" si="4"/>
        <v>24.705670571108996</v>
      </c>
      <c r="N15" s="72">
        <f t="shared" si="4"/>
        <v>25.693897393953357</v>
      </c>
      <c r="O15" s="72">
        <f>O14*(1-$A$15)</f>
        <v>26.59318380274172</v>
      </c>
      <c r="P15" s="72">
        <f t="shared" si="4"/>
        <v>27.390979316823973</v>
      </c>
      <c r="Q15" s="72">
        <f t="shared" si="4"/>
        <v>27.938798903160453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0.78481012658227844</v>
      </c>
      <c r="D16" s="15">
        <f t="shared" si="5"/>
        <v>0.59699892818863876</v>
      </c>
      <c r="E16" s="15">
        <f t="shared" si="5"/>
        <v>0.66223404255319152</v>
      </c>
      <c r="F16" s="15">
        <f t="shared" si="5"/>
        <v>0.52510288065843624</v>
      </c>
      <c r="G16" s="15">
        <f t="shared" si="5"/>
        <v>0.50624999999999998</v>
      </c>
      <c r="H16" s="15">
        <f t="shared" si="5"/>
        <v>0.53636363636363638</v>
      </c>
      <c r="I16" s="15">
        <f t="shared" si="5"/>
        <v>0.56785317018909898</v>
      </c>
      <c r="J16" s="15">
        <f t="shared" si="5"/>
        <v>0.6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1.4243918644067797</v>
      </c>
      <c r="H17" s="72">
        <f>H15/H18</f>
        <v>2.13626</v>
      </c>
      <c r="I17" s="72">
        <f t="shared" ref="I17:O17" si="6">I15/I18</f>
        <v>3.0507133898305079</v>
      </c>
      <c r="J17" s="72">
        <f>J15/J18</f>
        <v>3.5497037288135589</v>
      </c>
      <c r="K17" s="72">
        <f t="shared" si="6"/>
        <v>3.7981829898305084</v>
      </c>
      <c r="L17" s="72">
        <f t="shared" si="6"/>
        <v>4.0070830542711855</v>
      </c>
      <c r="M17" s="72">
        <f t="shared" si="6"/>
        <v>4.1874017917133886</v>
      </c>
      <c r="N17" s="72">
        <f t="shared" si="6"/>
        <v>4.3548978633819244</v>
      </c>
      <c r="O17" s="72">
        <f t="shared" si="6"/>
        <v>4.5073192886002911</v>
      </c>
      <c r="P17" s="72">
        <f>P15/P18</f>
        <v>4.6425388672582999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5.9</v>
      </c>
      <c r="H18" s="72">
        <f>G18*1</f>
        <v>5.9</v>
      </c>
      <c r="I18" s="72">
        <f t="shared" ref="I18:P18" si="7">H18*1</f>
        <v>5.9</v>
      </c>
      <c r="J18" s="72">
        <f t="shared" si="7"/>
        <v>5.9</v>
      </c>
      <c r="K18" s="72">
        <f t="shared" si="7"/>
        <v>5.9</v>
      </c>
      <c r="L18" s="72">
        <f t="shared" si="7"/>
        <v>5.9</v>
      </c>
      <c r="M18" s="72">
        <f t="shared" si="7"/>
        <v>5.9</v>
      </c>
      <c r="N18" s="72">
        <f t="shared" si="7"/>
        <v>5.9</v>
      </c>
      <c r="O18" s="72">
        <f t="shared" si="7"/>
        <v>5.9</v>
      </c>
      <c r="P18" s="72">
        <f t="shared" si="7"/>
        <v>5.9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7.6451325904025467</v>
      </c>
      <c r="H19" s="53">
        <f>H15/(1+$C$55)^2</f>
        <v>10.43069320373656</v>
      </c>
      <c r="I19" s="53">
        <f>I15/(1+$C$55)^3</f>
        <v>13.550770717789455</v>
      </c>
      <c r="J19" s="53">
        <f>J15/(1+$C$55)^4</f>
        <v>14.343601839410915</v>
      </c>
      <c r="K19" s="53">
        <f>K15/(1+$C$55)^5</f>
        <v>13.961932197561683</v>
      </c>
      <c r="L19" s="53">
        <f>L15/(1+$C$55)^6</f>
        <v>13.399898538483123</v>
      </c>
      <c r="M19" s="53">
        <f>M15/(1+$C$55)^7</f>
        <v>12.738589013158848</v>
      </c>
      <c r="N19" s="53">
        <f>N15/(1+$C$55)^8</f>
        <v>12.051974140263999</v>
      </c>
      <c r="O19" s="53">
        <f>O15/(1+$C$55)^9</f>
        <v>11.347548997201033</v>
      </c>
      <c r="P19" s="53">
        <f>P15/(1+$C$55)^10</f>
        <v>10.63268179860547</v>
      </c>
      <c r="Q19" s="54">
        <f>(Q15/(C55-Q12))/(1+C55)^10</f>
        <v>136.8496584804742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45157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184.67000000000002</v>
      </c>
      <c r="D49" s="47">
        <f>SUM(G19:Q19)</f>
        <v>256.95248151708785</v>
      </c>
      <c r="E49" s="46" t="s">
        <v>43</v>
      </c>
    </row>
    <row r="50" spans="1:17" x14ac:dyDescent="0.25">
      <c r="A50" s="45"/>
      <c r="B50" s="46" t="s">
        <v>11</v>
      </c>
      <c r="C50" s="56">
        <v>5.9</v>
      </c>
      <c r="D50" s="56">
        <f>C50</f>
        <v>5.9</v>
      </c>
      <c r="E50" s="46"/>
    </row>
    <row r="51" spans="1:17" x14ac:dyDescent="0.25">
      <c r="A51" s="45"/>
      <c r="B51" s="46" t="s">
        <v>13</v>
      </c>
      <c r="C51" s="87">
        <v>31.3</v>
      </c>
      <c r="D51" s="56">
        <f>D49/(D50)</f>
        <v>43.551268053743698</v>
      </c>
      <c r="E51" s="46" t="s">
        <v>43</v>
      </c>
    </row>
    <row r="52" spans="1:17" x14ac:dyDescent="0.25">
      <c r="A52" s="45"/>
      <c r="B52" s="46" t="s">
        <v>2</v>
      </c>
      <c r="C52" s="46"/>
      <c r="D52" s="57">
        <f>IF(C51/D51-1&gt;0,0,C51/D51-1)*-1</f>
        <v>0.28130680462909208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218952.86002115242</v>
      </c>
      <c r="E57" s="46"/>
      <c r="F57" s="1" t="s">
        <v>23</v>
      </c>
      <c r="H57" s="1">
        <f>G15/(1+$B$57)</f>
        <v>7.5847581227436818</v>
      </c>
      <c r="I57" s="1">
        <f>H15/(1+$B$57)^2</f>
        <v>10.266599004287816</v>
      </c>
      <c r="J57" s="1">
        <f>I15/(1+$B$57)^3</f>
        <v>13.232263441547495</v>
      </c>
      <c r="K57" s="1">
        <f>J15/(1+$B$57)^4</f>
        <v>13.89584870124358</v>
      </c>
      <c r="L57" s="1">
        <f>K15/(1+$B$57)^5</f>
        <v>13.41927627286158</v>
      </c>
      <c r="M57" s="1">
        <f>L15/(1+$B$57)^6</f>
        <v>12.777379483636249</v>
      </c>
      <c r="N57" s="1">
        <f>M15/(1+$B$57)^7</f>
        <v>12.050867834295918</v>
      </c>
      <c r="O57" s="1">
        <f>N15/(1+$B$57)^8</f>
        <v>11.311283887786779</v>
      </c>
      <c r="P57" s="1">
        <f>O15/(1+$B$57)^9</f>
        <v>10.566045869909127</v>
      </c>
      <c r="Q57" s="1">
        <f>(Q15/(B57-Q12))/(1+B57)^10</f>
        <v>113.84853740284019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44</v>
      </c>
      <c r="B59" s="23"/>
      <c r="C59" s="67">
        <v>22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102.1358550796826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45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46</v>
      </c>
      <c r="E70" s="60">
        <f>SUM(E62:E68)</f>
        <v>102.1358550796826</v>
      </c>
    </row>
    <row r="71" spans="1:5" x14ac:dyDescent="0.25">
      <c r="A71" s="25"/>
      <c r="E71" s="60"/>
    </row>
    <row r="72" spans="1:5" x14ac:dyDescent="0.25">
      <c r="A72" s="25" t="s">
        <v>47</v>
      </c>
      <c r="E72" s="62">
        <f>E70/C51-1</f>
        <v>2.2631263603732461</v>
      </c>
    </row>
    <row r="73" spans="1:5" x14ac:dyDescent="0.25">
      <c r="A73" s="25"/>
      <c r="E73" s="26"/>
    </row>
    <row r="74" spans="1:5" ht="16.5" thickBot="1" x14ac:dyDescent="0.3">
      <c r="A74" s="63" t="s">
        <v>48</v>
      </c>
      <c r="B74" s="64"/>
      <c r="C74" s="64"/>
      <c r="D74" s="64"/>
      <c r="E74" s="102">
        <f>(E70/C51)^(1/10)-1</f>
        <v>0.12554636349958526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P13" sqref="P13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42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64.86</v>
      </c>
      <c r="D11" s="82">
        <v>78.56</v>
      </c>
      <c r="E11" s="82">
        <v>105.08</v>
      </c>
      <c r="F11" s="82">
        <v>116.79</v>
      </c>
      <c r="G11" s="72">
        <f t="shared" ref="G11:I11" si="0">F11*(1+G12)</f>
        <v>121.4616</v>
      </c>
      <c r="H11" s="72">
        <f t="shared" si="0"/>
        <v>126.320064</v>
      </c>
      <c r="I11" s="72">
        <f t="shared" si="0"/>
        <v>131.37286656000001</v>
      </c>
      <c r="J11" s="72">
        <f>I11*(1+J12)</f>
        <v>136.62778122240002</v>
      </c>
      <c r="K11" s="72">
        <f>J11*(1+K12)</f>
        <v>142.09289247129601</v>
      </c>
      <c r="L11" s="72">
        <f t="shared" ref="L11:Q11" si="1">K11*(1+L12)</f>
        <v>147.77660817014785</v>
      </c>
      <c r="M11" s="72">
        <f t="shared" si="1"/>
        <v>153.68767249695378</v>
      </c>
      <c r="N11" s="72">
        <f t="shared" si="1"/>
        <v>159.83517939683193</v>
      </c>
      <c r="O11" s="72">
        <f t="shared" si="1"/>
        <v>166.22858657270521</v>
      </c>
      <c r="P11" s="72">
        <f t="shared" si="1"/>
        <v>171.21544416988638</v>
      </c>
      <c r="Q11" s="72">
        <f t="shared" si="1"/>
        <v>174.63975305328412</v>
      </c>
    </row>
    <row r="12" spans="1:28" x14ac:dyDescent="0.25">
      <c r="A12" s="5"/>
      <c r="B12" s="4" t="s">
        <v>1</v>
      </c>
      <c r="C12" s="86"/>
      <c r="D12" s="89">
        <f>D11/C11-1</f>
        <v>0.21122417514646941</v>
      </c>
      <c r="E12" s="89">
        <f>E11/D11-1</f>
        <v>0.33757637474541746</v>
      </c>
      <c r="F12" s="89">
        <f>F11/E11-1</f>
        <v>0.11143890369242482</v>
      </c>
      <c r="G12" s="85">
        <v>0.04</v>
      </c>
      <c r="H12" s="85">
        <f t="shared" ref="H12:O12" si="2">G12</f>
        <v>0.04</v>
      </c>
      <c r="I12" s="85">
        <f t="shared" si="2"/>
        <v>0.04</v>
      </c>
      <c r="J12" s="85">
        <f t="shared" si="2"/>
        <v>0.04</v>
      </c>
      <c r="K12" s="85">
        <f t="shared" si="2"/>
        <v>0.04</v>
      </c>
      <c r="L12" s="85">
        <f t="shared" si="2"/>
        <v>0.04</v>
      </c>
      <c r="M12" s="85">
        <f t="shared" si="2"/>
        <v>0.04</v>
      </c>
      <c r="N12" s="85">
        <f t="shared" si="2"/>
        <v>0.04</v>
      </c>
      <c r="O12" s="85">
        <f t="shared" si="2"/>
        <v>0.04</v>
      </c>
      <c r="P12" s="85">
        <v>0.03</v>
      </c>
      <c r="Q12" s="85">
        <v>0.02</v>
      </c>
    </row>
    <row r="13" spans="1:28" ht="15.95" customHeight="1" x14ac:dyDescent="0.25">
      <c r="A13" s="5"/>
      <c r="B13" s="4" t="s">
        <v>15</v>
      </c>
      <c r="C13" s="88">
        <v>8.6900000000000005E-2</v>
      </c>
      <c r="D13" s="88">
        <v>9.3299999999999994E-2</v>
      </c>
      <c r="E13" s="88">
        <v>0.1128</v>
      </c>
      <c r="F13" s="88">
        <v>0.1215</v>
      </c>
      <c r="G13" s="84">
        <v>0.128</v>
      </c>
      <c r="H13" s="84">
        <v>0.154</v>
      </c>
      <c r="I13" s="84">
        <v>0.17979999999999999</v>
      </c>
      <c r="J13" s="84">
        <v>0.18</v>
      </c>
      <c r="K13" s="84">
        <v>0.18</v>
      </c>
      <c r="L13" s="84">
        <v>0.18</v>
      </c>
      <c r="M13" s="84">
        <v>0.18</v>
      </c>
      <c r="N13" s="84">
        <v>0.18</v>
      </c>
      <c r="O13" s="84">
        <v>0.18</v>
      </c>
      <c r="P13" s="84">
        <v>0.18</v>
      </c>
      <c r="Q13" s="84">
        <v>0.18</v>
      </c>
    </row>
    <row r="14" spans="1:28" ht="17.100000000000001" customHeight="1" x14ac:dyDescent="0.25">
      <c r="A14" s="5"/>
      <c r="B14" s="4" t="s">
        <v>16</v>
      </c>
      <c r="C14" s="82">
        <f t="shared" ref="C14:J14" si="3">C11*C13</f>
        <v>5.6363340000000006</v>
      </c>
      <c r="D14" s="82">
        <f t="shared" si="3"/>
        <v>7.3296479999999997</v>
      </c>
      <c r="E14" s="82">
        <f t="shared" si="3"/>
        <v>11.853024</v>
      </c>
      <c r="F14" s="82">
        <f t="shared" si="3"/>
        <v>14.189985</v>
      </c>
      <c r="G14" s="72">
        <f t="shared" si="3"/>
        <v>15.5470848</v>
      </c>
      <c r="H14" s="72">
        <f t="shared" si="3"/>
        <v>19.453289856000001</v>
      </c>
      <c r="I14" s="72">
        <f t="shared" si="3"/>
        <v>23.620841407488001</v>
      </c>
      <c r="J14" s="72">
        <f t="shared" si="3"/>
        <v>24.593000620032001</v>
      </c>
      <c r="K14" s="72">
        <f t="shared" ref="K14:Q14" si="4">K11*K13</f>
        <v>25.57672064483328</v>
      </c>
      <c r="L14" s="72">
        <f t="shared" si="4"/>
        <v>26.599789470626611</v>
      </c>
      <c r="M14" s="72">
        <f t="shared" si="4"/>
        <v>27.663781049451678</v>
      </c>
      <c r="N14" s="72">
        <f t="shared" si="4"/>
        <v>28.770332291429746</v>
      </c>
      <c r="O14" s="72">
        <f>O11*O13</f>
        <v>29.921145583086936</v>
      </c>
      <c r="P14" s="72">
        <f t="shared" si="4"/>
        <v>30.818779950579547</v>
      </c>
      <c r="Q14" s="72">
        <f t="shared" si="4"/>
        <v>31.435155549591141</v>
      </c>
    </row>
    <row r="15" spans="1:28" x14ac:dyDescent="0.25">
      <c r="A15" s="100">
        <v>0.4</v>
      </c>
      <c r="B15" s="4" t="s">
        <v>39</v>
      </c>
      <c r="C15" s="82">
        <v>4.4234520000000002</v>
      </c>
      <c r="D15" s="82">
        <v>4.3757919999999997</v>
      </c>
      <c r="E15" s="82">
        <v>7.8494760000000001</v>
      </c>
      <c r="F15" s="82">
        <v>7.4512020000000003</v>
      </c>
      <c r="G15" s="72">
        <v>8.403912</v>
      </c>
      <c r="H15" s="72">
        <v>12.603934000000001</v>
      </c>
      <c r="I15" s="72">
        <v>17.999208999999997</v>
      </c>
      <c r="J15" s="72">
        <f>J14*(1-$A$15)</f>
        <v>14.7558003720192</v>
      </c>
      <c r="K15" s="72">
        <f>K14*(1-$A$15)</f>
        <v>15.346032386899967</v>
      </c>
      <c r="L15" s="72">
        <f t="shared" ref="L15:Q15" si="5">L14*(1-$A$15)</f>
        <v>15.959873682375965</v>
      </c>
      <c r="M15" s="72">
        <f t="shared" si="5"/>
        <v>16.598268629671008</v>
      </c>
      <c r="N15" s="72">
        <f t="shared" si="5"/>
        <v>17.262199374857847</v>
      </c>
      <c r="O15" s="72">
        <f>O14*(1-$A$15)</f>
        <v>17.952687349852162</v>
      </c>
      <c r="P15" s="72">
        <f t="shared" si="5"/>
        <v>18.491267970347728</v>
      </c>
      <c r="Q15" s="72">
        <f t="shared" si="5"/>
        <v>18.861093329754684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0.78481012658227844</v>
      </c>
      <c r="D16" s="15">
        <f t="shared" si="6"/>
        <v>0.59699892818863876</v>
      </c>
      <c r="E16" s="15">
        <f t="shared" si="6"/>
        <v>0.66223404255319152</v>
      </c>
      <c r="F16" s="15">
        <f t="shared" si="6"/>
        <v>0.52510288065843624</v>
      </c>
      <c r="G16" s="15">
        <f t="shared" si="6"/>
        <v>0.54054583917880217</v>
      </c>
      <c r="H16" s="15">
        <f t="shared" si="6"/>
        <v>0.6479075823831697</v>
      </c>
      <c r="I16" s="15">
        <f t="shared" si="6"/>
        <v>0.76200541248687692</v>
      </c>
      <c r="J16" s="15">
        <f t="shared" si="6"/>
        <v>0.6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1.4243918644067797</v>
      </c>
      <c r="H17" s="72">
        <f t="shared" ref="H17:O17" si="7">H15/H18</f>
        <v>2.13626</v>
      </c>
      <c r="I17" s="72">
        <f t="shared" si="7"/>
        <v>3.0507133898305079</v>
      </c>
      <c r="J17" s="72">
        <f t="shared" si="7"/>
        <v>2.500983113901559</v>
      </c>
      <c r="K17" s="72">
        <f t="shared" si="7"/>
        <v>2.6010224384576213</v>
      </c>
      <c r="L17" s="72">
        <f t="shared" si="7"/>
        <v>2.7050633359959262</v>
      </c>
      <c r="M17" s="72">
        <f t="shared" si="7"/>
        <v>2.8132658694357637</v>
      </c>
      <c r="N17" s="72">
        <f t="shared" si="7"/>
        <v>2.9257965042131944</v>
      </c>
      <c r="O17" s="72">
        <f t="shared" si="7"/>
        <v>3.0428283643817222</v>
      </c>
      <c r="P17" s="72">
        <f>P15/P18</f>
        <v>3.1341132153131741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5.9</v>
      </c>
      <c r="H18" s="72">
        <f>G18*1</f>
        <v>5.9</v>
      </c>
      <c r="I18" s="72">
        <f t="shared" ref="I18:P18" si="8">H18*1</f>
        <v>5.9</v>
      </c>
      <c r="J18" s="72">
        <f t="shared" si="8"/>
        <v>5.9</v>
      </c>
      <c r="K18" s="72">
        <f t="shared" si="8"/>
        <v>5.9</v>
      </c>
      <c r="L18" s="72">
        <f t="shared" si="8"/>
        <v>5.9</v>
      </c>
      <c r="M18" s="72">
        <f t="shared" si="8"/>
        <v>5.9</v>
      </c>
      <c r="N18" s="72">
        <f t="shared" si="8"/>
        <v>5.9</v>
      </c>
      <c r="O18" s="72">
        <f t="shared" si="8"/>
        <v>5.9</v>
      </c>
      <c r="P18" s="72">
        <f t="shared" si="8"/>
        <v>5.9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7.6451325904025467</v>
      </c>
      <c r="H19" s="53">
        <f>H15/(1+$C$55)^2</f>
        <v>10.43069320373656</v>
      </c>
      <c r="I19" s="53">
        <f>I15/(1+$C$55)^3</f>
        <v>13.550770717789455</v>
      </c>
      <c r="J19" s="53">
        <f>J15/(1+$C$55)^4</f>
        <v>10.105943688118487</v>
      </c>
      <c r="K19" s="53">
        <f>K15/(1+$C$55)^5</f>
        <v>9.5612294160957259</v>
      </c>
      <c r="L19" s="53">
        <f>L15/(1+$C$55)^6</f>
        <v>9.0458754539363682</v>
      </c>
      <c r="M19" s="53">
        <f>M15/(1+$C$55)^7</f>
        <v>8.5582992695872875</v>
      </c>
      <c r="N19" s="53">
        <f>N15/(1+$C$55)^8</f>
        <v>8.0970036300848545</v>
      </c>
      <c r="O19" s="53">
        <f>O15/(1+$C$55)^9</f>
        <v>7.6605720039010681</v>
      </c>
      <c r="P19" s="53">
        <f>P15/(1+$C$55)^10</f>
        <v>7.1779751321520129</v>
      </c>
      <c r="Q19" s="54">
        <f>(Q15/(C55-Q12))/(1+C55)^10</f>
        <v>92.385295076278268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45157</v>
      </c>
      <c r="D48" s="18" t="s">
        <v>3</v>
      </c>
      <c r="E48" s="19"/>
      <c r="F48" s="20"/>
      <c r="G48" s="21"/>
      <c r="H48" s="21"/>
      <c r="I48" s="21"/>
    </row>
    <row r="49" spans="1:20" x14ac:dyDescent="0.25">
      <c r="A49" s="45" t="s">
        <v>0</v>
      </c>
      <c r="B49" s="46" t="s">
        <v>5</v>
      </c>
      <c r="C49" s="56">
        <f>C50*C51</f>
        <v>184.67000000000002</v>
      </c>
      <c r="D49" s="47">
        <f>SUM(G19:Q19)</f>
        <v>184.21879018208261</v>
      </c>
      <c r="E49" s="46" t="s">
        <v>43</v>
      </c>
    </row>
    <row r="50" spans="1:20" x14ac:dyDescent="0.25">
      <c r="A50" s="45"/>
      <c r="B50" s="46" t="s">
        <v>11</v>
      </c>
      <c r="C50" s="56">
        <v>5.9</v>
      </c>
      <c r="D50" s="56">
        <f>C50</f>
        <v>5.9</v>
      </c>
      <c r="E50" s="46"/>
    </row>
    <row r="51" spans="1:20" x14ac:dyDescent="0.25">
      <c r="A51" s="45"/>
      <c r="B51" s="46" t="s">
        <v>13</v>
      </c>
      <c r="C51" s="87">
        <v>31.3</v>
      </c>
      <c r="D51" s="87">
        <f>D49/(D50)</f>
        <v>31.223523759675018</v>
      </c>
      <c r="E51" s="46" t="s">
        <v>43</v>
      </c>
    </row>
    <row r="52" spans="1:20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20" x14ac:dyDescent="0.25">
      <c r="A53" s="45"/>
      <c r="B53" s="46" t="s">
        <v>14</v>
      </c>
      <c r="C53" s="46"/>
      <c r="D53" s="58">
        <f>IF(C51/D51-1&lt;0,0,C51/D51-1)</f>
        <v>2.449314847152273E-3</v>
      </c>
      <c r="E53" s="46"/>
    </row>
    <row r="54" spans="1:20" x14ac:dyDescent="0.25">
      <c r="A54" s="46"/>
      <c r="B54" s="46"/>
      <c r="C54" s="46"/>
      <c r="D54" s="48"/>
      <c r="E54" s="48"/>
    </row>
    <row r="55" spans="1:20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20" x14ac:dyDescent="0.25">
      <c r="A56" s="48"/>
      <c r="B56" s="46"/>
      <c r="C56" s="50"/>
      <c r="D56" s="49"/>
      <c r="E56" s="46"/>
    </row>
    <row r="57" spans="1:20" hidden="1" x14ac:dyDescent="0.25">
      <c r="A57" s="48" t="s">
        <v>22</v>
      </c>
      <c r="B57" s="73">
        <v>0.108</v>
      </c>
      <c r="C57" s="50"/>
      <c r="D57" s="74">
        <f>SUM(H57:Q57)*1000</f>
        <v>158375.52851280908</v>
      </c>
      <c r="E57" s="46"/>
      <c r="F57" s="1" t="s">
        <v>23</v>
      </c>
      <c r="H57" s="1">
        <f>G15/(1+$B$57)</f>
        <v>7.5847581227436818</v>
      </c>
      <c r="I57" s="1">
        <f>H15/(1+$B$57)^2</f>
        <v>10.266599004287816</v>
      </c>
      <c r="J57" s="1">
        <f>I15/(1+$B$57)^3</f>
        <v>13.232263441547495</v>
      </c>
      <c r="K57" s="1">
        <f>J15/(1+$B$57)^4</f>
        <v>9.7904742508628821</v>
      </c>
      <c r="L57" s="1">
        <f>K15/(1+$B$57)^5</f>
        <v>9.1896148203045076</v>
      </c>
      <c r="M57" s="1">
        <f>L15/(1+$B$57)^6</f>
        <v>8.6256312392749876</v>
      </c>
      <c r="N57" s="1">
        <f>M15/(1+$B$57)^7</f>
        <v>8.0962603689945762</v>
      </c>
      <c r="O57" s="1">
        <f>N15/(1+$B$57)^8</f>
        <v>7.5993779636772159</v>
      </c>
      <c r="P57" s="1">
        <f>O15/(1+$B$57)^9</f>
        <v>7.1329901464118262</v>
      </c>
      <c r="Q57" s="1">
        <f>(Q15/(B57-Q12))/(1+B57)^10</f>
        <v>76.857559154704063</v>
      </c>
    </row>
    <row r="58" spans="1:20" ht="16.5" thickBot="1" x14ac:dyDescent="0.3">
      <c r="A58" s="22"/>
      <c r="C58" s="65"/>
      <c r="D58" s="66"/>
    </row>
    <row r="59" spans="1:20" x14ac:dyDescent="0.25">
      <c r="A59" s="59" t="s">
        <v>44</v>
      </c>
      <c r="B59" s="23"/>
      <c r="C59" s="67">
        <v>26</v>
      </c>
      <c r="D59" s="23"/>
      <c r="E59" s="24"/>
    </row>
    <row r="60" spans="1:20" x14ac:dyDescent="0.25">
      <c r="A60" s="25" t="s">
        <v>21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5">
      <c r="A61" s="25"/>
      <c r="C61" s="68"/>
      <c r="E61" s="26"/>
    </row>
    <row r="62" spans="1:20" x14ac:dyDescent="0.25">
      <c r="A62" s="25" t="s">
        <v>37</v>
      </c>
      <c r="C62" s="68"/>
      <c r="E62" s="60">
        <f>P17*C59</f>
        <v>81.486943598142531</v>
      </c>
    </row>
    <row r="63" spans="1:20" x14ac:dyDescent="0.25">
      <c r="A63" s="25"/>
      <c r="C63" s="68"/>
      <c r="E63" s="26"/>
    </row>
    <row r="64" spans="1:20" x14ac:dyDescent="0.25">
      <c r="A64" s="25" t="s">
        <v>17</v>
      </c>
      <c r="C64" s="69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103" t="s">
        <v>45</v>
      </c>
      <c r="E68" s="104">
        <f>(E66*0.25)*-1</f>
        <v>0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46</v>
      </c>
      <c r="E70" s="60">
        <f>SUM(E62:E68)</f>
        <v>81.486943598142531</v>
      </c>
    </row>
    <row r="71" spans="1:5" x14ac:dyDescent="0.25">
      <c r="A71" s="25"/>
      <c r="E71" s="60"/>
    </row>
    <row r="72" spans="1:5" x14ac:dyDescent="0.25">
      <c r="A72" s="25" t="s">
        <v>47</v>
      </c>
      <c r="E72" s="62">
        <f>E70/C51-1</f>
        <v>1.6034167283751608</v>
      </c>
    </row>
    <row r="73" spans="1:5" x14ac:dyDescent="0.25">
      <c r="A73" s="25"/>
      <c r="E73" s="26"/>
    </row>
    <row r="74" spans="1:5" ht="16.5" thickBot="1" x14ac:dyDescent="0.3">
      <c r="A74" s="63" t="s">
        <v>48</v>
      </c>
      <c r="B74" s="64"/>
      <c r="C74" s="64"/>
      <c r="D74" s="64"/>
      <c r="E74" s="102">
        <f>(E70/C51)^(1/10)-1</f>
        <v>0.10040959640295744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2023-08-19T10:05:59Z</dcterms:modified>
</cp:coreProperties>
</file>