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tilmanreichel/Documents/Wir lieben Aktien/Haier/"/>
    </mc:Choice>
  </mc:AlternateContent>
  <xr:revisionPtr revIDLastSave="0" documentId="13_ncr:1_{8D089EBA-F47C-5640-AC32-124B7BFEED1D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3" l="1"/>
  <c r="J39" i="3"/>
  <c r="K7" i="3"/>
  <c r="E30" i="3" l="1"/>
  <c r="D30" i="3"/>
  <c r="N27" i="3"/>
  <c r="L27" i="3"/>
  <c r="J27" i="3"/>
  <c r="E14" i="3"/>
  <c r="F30" i="3"/>
  <c r="E6" i="3" l="1"/>
  <c r="G19" i="3" s="1"/>
  <c r="T25" i="3"/>
  <c r="R25" i="3"/>
  <c r="P25" i="3"/>
  <c r="N25" i="3"/>
  <c r="L25" i="3"/>
  <c r="J25" i="3"/>
  <c r="B20" i="3"/>
  <c r="K13" i="3"/>
  <c r="J32" i="3"/>
  <c r="R32" i="3" l="1"/>
  <c r="L32" i="3"/>
  <c r="P32" i="3"/>
  <c r="N32" i="3"/>
  <c r="T32" i="3"/>
  <c r="D35" i="3"/>
  <c r="J34" i="3" l="1"/>
  <c r="T34" i="3" l="1"/>
  <c r="R34" i="3" l="1"/>
  <c r="P34" i="3"/>
  <c r="L34" i="3"/>
  <c r="N34" i="3" l="1"/>
  <c r="J37" i="3" s="1"/>
  <c r="J41" i="3" l="1"/>
</calcChain>
</file>

<file path=xl/sharedStrings.xml><?xml version="1.0" encoding="utf-8"?>
<sst xmlns="http://schemas.openxmlformats.org/spreadsheetml/2006/main" count="39" uniqueCount="38">
  <si>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</si>
  <si>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</si>
  <si>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</si>
  <si>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</si>
  <si>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</si>
  <si>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</si>
  <si>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</si>
  <si>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</si>
  <si>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</si>
  <si>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</si>
  <si>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</si>
  <si>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</si>
  <si>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</si>
  <si>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</si>
  <si>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</si>
  <si>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</si>
  <si>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</si>
  <si>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</si>
  <si>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</si>
  <si>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</si>
  <si>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</si>
  <si>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</si>
  <si>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</si>
  <si>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</si>
  <si>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</si>
  <si>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</si>
  <si>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</si>
  <si>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</si>
  <si>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</si>
  <si>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</si>
  <si>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</si>
  <si>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</si>
  <si>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</si>
  <si>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</si>
  <si>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</si>
  <si>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 xml:space="preserve"> </t>
  </si>
  <si>
    <t>Letztes Geschäftsjahr</t>
  </si>
  <si>
    <t>DCF-Verfahren für Haier Smart Home: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</si>
</sst>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0" xfId="1" applyFont="1"/>
    <xf numFmtId="9" fontId="0" fillId="0" borderId="0" xfId="2" applyFont="1" applyAlignment="1">
      <alignment horizontal="left"/>
    </xf>
    <xf numFmtId="168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3" borderId="0" xfId="0" applyFill="1" applyAlignment="1">
      <alignment horizontal="right"/>
    </xf>
    <xf numFmtId="169" fontId="0" fillId="3" borderId="0" xfId="0" applyNumberFormat="1" applyFill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8" xfId="1" applyNumberFormat="1" applyFont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2" fontId="0" fillId="3" borderId="0" xfId="1" applyNumberFormat="1" applyFont="1" applyFill="1" applyAlignment="1"/>
    <xf numFmtId="2" fontId="0" fillId="3" borderId="0" xfId="0" applyNumberFormat="1" applyFill="1"/>
    <xf numFmtId="10" fontId="0" fillId="3" borderId="0" xfId="2" applyNumberFormat="1" applyFont="1" applyFill="1" applyAlignment="1"/>
    <xf numFmtId="4" fontId="0" fillId="4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2" fontId="0" fillId="3" borderId="12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3" borderId="14" xfId="1" applyNumberFormat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showGridLines="0" tabSelected="1" zoomScaleNormal="100" workbookViewId="0"/>
  </sheetViews>
  <sheetFormatPr baseColWidth="10" defaultColWidth="0" defaultRowHeight="15" zeroHeight="1" x14ac:dyDescent="0.2"/>
  <cols>
    <col min="1" max="1" width="9.1640625" customWidth="1"/>
    <col min="2" max="2" width="18.5" style="2" bestFit="1" customWidth="1"/>
    <col min="3" max="3" width="9.1640625" style="2" customWidth="1"/>
    <col min="4" max="4" width="13.6640625" style="2" customWidth="1"/>
    <col min="5" max="5" width="13.6640625" style="2" bestFit="1" customWidth="1"/>
    <col min="6" max="6" width="14.5" style="2" bestFit="1" customWidth="1"/>
    <col min="7" max="7" width="20.5" style="2" bestFit="1" customWidth="1"/>
    <col min="8" max="9" width="9.1640625" style="2" customWidth="1"/>
    <col min="10" max="10" width="24.33203125" style="2" customWidth="1"/>
    <col min="11" max="11" width="9.1640625" style="2" customWidth="1"/>
    <col min="12" max="12" width="20.5" style="2" customWidth="1"/>
    <col min="13" max="13" width="9.1640625" style="2" customWidth="1"/>
    <col min="14" max="14" width="20" style="2" customWidth="1"/>
    <col min="15" max="15" width="9.1640625" customWidth="1"/>
    <col min="16" max="16" width="20.33203125" bestFit="1" customWidth="1"/>
    <col min="17" max="17" width="9.1640625" customWidth="1"/>
    <col min="18" max="18" width="18.33203125" bestFit="1" customWidth="1"/>
    <col min="19" max="19" width="9.5" bestFit="1" customWidth="1"/>
    <col min="20" max="20" width="20.33203125" bestFit="1" customWidth="1"/>
    <col min="21" max="21" width="9.1640625" customWidth="1"/>
    <col min="22" max="22" width="18.5" hidden="1" customWidth="1"/>
    <col min="23" max="23" width="9.1640625" hidden="1" customWidth="1"/>
    <col min="24" max="24" width="19.33203125" hidden="1" customWidth="1"/>
    <col min="25" max="16384" width="9.1640625" hidden="1"/>
  </cols>
  <sheetData>
    <row r="1" spans="2:16" x14ac:dyDescent="0.2"/>
    <row r="2" spans="2:16" ht="26" x14ac:dyDescent="0.3">
      <c r="B2" s="6" t="s">
        <v>37</v>
      </c>
    </row>
    <row r="3" spans="2:16" x14ac:dyDescent="0.2">
      <c r="F3" s="2" t="s">
        <v>15</v>
      </c>
      <c r="J3" s="7"/>
      <c r="L3" s="2" t="s">
        <v>24</v>
      </c>
    </row>
    <row r="4" spans="2:16" x14ac:dyDescent="0.2">
      <c r="B4" s="19" t="s">
        <v>10</v>
      </c>
      <c r="O4" s="2"/>
      <c r="P4" s="2"/>
    </row>
    <row r="5" spans="2:16" x14ac:dyDescent="0.2">
      <c r="J5" s="2" t="s">
        <v>11</v>
      </c>
      <c r="K5" s="5">
        <v>3.7499999999999999E-2</v>
      </c>
      <c r="L5" s="2" t="s">
        <v>27</v>
      </c>
    </row>
    <row r="6" spans="2:16" x14ac:dyDescent="0.2">
      <c r="B6" s="7" t="s">
        <v>34</v>
      </c>
      <c r="C6" s="7"/>
      <c r="D6" s="7"/>
      <c r="E6" s="51">
        <f>J39</f>
        <v>214.30072268197003</v>
      </c>
      <c r="F6" s="2" t="s">
        <v>16</v>
      </c>
      <c r="G6" s="7"/>
      <c r="O6" s="2"/>
    </row>
    <row r="7" spans="2:16" x14ac:dyDescent="0.2">
      <c r="B7" s="7"/>
      <c r="C7" s="7"/>
      <c r="D7" s="7"/>
      <c r="J7" s="2" t="s">
        <v>12</v>
      </c>
      <c r="K7" s="20">
        <f>(K9-K5)*K11</f>
        <v>3.8675000000000008E-2</v>
      </c>
      <c r="O7" s="2"/>
    </row>
    <row r="8" spans="2:16" x14ac:dyDescent="0.2">
      <c r="B8" s="7" t="s">
        <v>23</v>
      </c>
      <c r="C8" s="7"/>
      <c r="D8" s="7"/>
      <c r="E8" s="52">
        <v>0</v>
      </c>
      <c r="F8" s="2" t="s">
        <v>17</v>
      </c>
      <c r="O8" s="2"/>
    </row>
    <row r="9" spans="2:16" x14ac:dyDescent="0.2">
      <c r="B9" s="7"/>
      <c r="C9" s="7"/>
      <c r="D9" s="7"/>
      <c r="G9" s="30"/>
      <c r="J9" s="2" t="s">
        <v>13</v>
      </c>
      <c r="K9" s="5">
        <v>7.0000000000000007E-2</v>
      </c>
      <c r="L9" s="2" t="s">
        <v>25</v>
      </c>
      <c r="O9" s="2"/>
      <c r="P9" s="2"/>
    </row>
    <row r="10" spans="2:16" x14ac:dyDescent="0.2">
      <c r="B10" s="7" t="s">
        <v>9</v>
      </c>
      <c r="C10" s="7"/>
      <c r="D10" s="7"/>
      <c r="E10" s="5">
        <v>0</v>
      </c>
      <c r="F10" s="2" t="s">
        <v>18</v>
      </c>
      <c r="O10" s="2"/>
      <c r="P10" s="2"/>
    </row>
    <row r="11" spans="2:16" x14ac:dyDescent="0.2">
      <c r="B11" s="7"/>
      <c r="C11" s="7"/>
      <c r="D11" s="7"/>
      <c r="J11" s="2" t="s">
        <v>33</v>
      </c>
      <c r="K11" s="24">
        <v>1.19</v>
      </c>
      <c r="L11" s="2" t="s">
        <v>26</v>
      </c>
      <c r="O11" s="2"/>
      <c r="P11" s="2"/>
    </row>
    <row r="12" spans="2:16" x14ac:dyDescent="0.2">
      <c r="B12" s="7" t="s">
        <v>8</v>
      </c>
      <c r="C12" s="7"/>
      <c r="D12" s="7"/>
      <c r="E12" s="5">
        <v>0.15</v>
      </c>
      <c r="F12" s="2" t="s">
        <v>19</v>
      </c>
      <c r="O12" s="2"/>
      <c r="P12" s="2"/>
    </row>
    <row r="13" spans="2:16" x14ac:dyDescent="0.2">
      <c r="B13" s="7"/>
      <c r="C13" s="7"/>
      <c r="D13" s="7"/>
      <c r="J13" s="2" t="s">
        <v>14</v>
      </c>
      <c r="K13" s="21">
        <f>K5+(K9-K5)*K11</f>
        <v>7.6175000000000007E-2</v>
      </c>
      <c r="L13" s="2" t="s">
        <v>22</v>
      </c>
      <c r="O13" s="2"/>
      <c r="P13" s="2"/>
    </row>
    <row r="14" spans="2:16" x14ac:dyDescent="0.2">
      <c r="B14" s="7" t="s">
        <v>21</v>
      </c>
      <c r="C14" s="7"/>
      <c r="D14" s="7"/>
      <c r="E14" s="5">
        <f>K13</f>
        <v>7.6175000000000007E-2</v>
      </c>
      <c r="F14" s="2" t="s">
        <v>22</v>
      </c>
      <c r="O14" s="2"/>
      <c r="P14" s="2"/>
    </row>
    <row r="15" spans="2:16" x14ac:dyDescent="0.2">
      <c r="C15" s="7"/>
      <c r="D15" s="7"/>
      <c r="H15" s="7" t="s">
        <v>20</v>
      </c>
      <c r="O15" s="2"/>
    </row>
    <row r="16" spans="2:16" x14ac:dyDescent="0.2">
      <c r="B16" s="7"/>
      <c r="C16" s="7"/>
      <c r="D16" s="7"/>
      <c r="E16" s="7"/>
      <c r="O16" s="2"/>
      <c r="P16" s="2"/>
    </row>
    <row r="17" spans="2:24" x14ac:dyDescent="0.2">
      <c r="B17" s="7"/>
      <c r="C17" s="7"/>
      <c r="D17" s="7"/>
      <c r="E17" s="23"/>
      <c r="O17" s="2"/>
      <c r="P17" s="2"/>
    </row>
    <row r="18" spans="2:24" x14ac:dyDescent="0.2">
      <c r="B18" s="7"/>
      <c r="C18" s="7"/>
      <c r="D18" s="7"/>
      <c r="E18" s="7"/>
      <c r="O18" s="2"/>
      <c r="P18" s="2"/>
    </row>
    <row r="19" spans="2:24" x14ac:dyDescent="0.2">
      <c r="B19" s="8" t="s">
        <v>0</v>
      </c>
      <c r="C19" s="1"/>
      <c r="D19" s="1"/>
      <c r="E19" s="1"/>
      <c r="F19" s="1"/>
      <c r="G19" s="22">
        <f>E14*(E6/(E6+E8))+E10*(E8/(E6+E8))*(1-E12)</f>
        <v>7.6175000000000007E-2</v>
      </c>
      <c r="O19" s="2"/>
      <c r="P19" s="2"/>
    </row>
    <row r="20" spans="2:24" x14ac:dyDescent="0.2">
      <c r="B20" s="8" t="str">
        <f>"Wachstumsabschlag ("&amp;D25+7&amp;"ff.)"</f>
        <v>Wachstumsabschlag (2029ff.)</v>
      </c>
      <c r="G20" s="3">
        <v>0.02</v>
      </c>
      <c r="O20" s="2"/>
      <c r="P20" s="2"/>
    </row>
    <row r="21" spans="2:24" x14ac:dyDescent="0.2">
      <c r="B21" s="8"/>
      <c r="G21" s="3"/>
      <c r="O21" s="2"/>
      <c r="P21" s="2"/>
    </row>
    <row r="22" spans="2:24" x14ac:dyDescent="0.2">
      <c r="B22" s="7"/>
      <c r="C22" s="7"/>
      <c r="D22" s="7"/>
      <c r="E22" s="7"/>
      <c r="O22" s="2"/>
      <c r="P22" s="2"/>
    </row>
    <row r="23" spans="2:24" ht="21" x14ac:dyDescent="0.25">
      <c r="B23" s="9" t="s">
        <v>4</v>
      </c>
      <c r="C23" s="7"/>
      <c r="D23" s="7"/>
      <c r="E23" s="7"/>
      <c r="O23" s="2"/>
      <c r="P23" s="2"/>
    </row>
    <row r="24" spans="2:24" ht="21" x14ac:dyDescent="0.25">
      <c r="B24" s="9"/>
      <c r="C24" s="7"/>
      <c r="D24" s="7" t="s">
        <v>36</v>
      </c>
      <c r="E24" s="7"/>
      <c r="O24" s="2"/>
      <c r="P24" s="2"/>
    </row>
    <row r="25" spans="2:24" x14ac:dyDescent="0.2">
      <c r="B25" s="10" t="s">
        <v>5</v>
      </c>
      <c r="C25" s="10"/>
      <c r="D25" s="11">
        <v>2022</v>
      </c>
      <c r="E25" s="10"/>
      <c r="F25" s="10"/>
      <c r="G25" s="10"/>
      <c r="H25" s="11" t="s">
        <v>35</v>
      </c>
      <c r="I25" s="11"/>
      <c r="J25" s="11" t="str">
        <f>$D25+1&amp;"e"</f>
        <v>2023e</v>
      </c>
      <c r="K25" s="11"/>
      <c r="L25" s="11" t="str">
        <f>$D25+2&amp;"e"</f>
        <v>2024e</v>
      </c>
      <c r="M25" s="11"/>
      <c r="N25" s="11" t="str">
        <f>$D25+3&amp;"e"</f>
        <v>2025e</v>
      </c>
      <c r="O25" s="11"/>
      <c r="P25" s="11" t="str">
        <f>$D25+4&amp;"e"</f>
        <v>2026e</v>
      </c>
      <c r="Q25" s="11"/>
      <c r="R25" s="11" t="str">
        <f>$D25+5&amp;"e"</f>
        <v>2027e</v>
      </c>
      <c r="S25" s="11"/>
      <c r="T25" s="11" t="str">
        <f>$D25+6&amp;"e"</f>
        <v>2028e</v>
      </c>
      <c r="U25" s="1"/>
      <c r="V25" s="2"/>
      <c r="W25" s="1"/>
      <c r="X25" s="2"/>
    </row>
    <row r="26" spans="2:24" x14ac:dyDescent="0.2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29" customFormat="1" x14ac:dyDescent="0.2">
      <c r="B27" s="13" t="s">
        <v>31</v>
      </c>
      <c r="C27" s="13"/>
      <c r="D27" s="13"/>
      <c r="E27" s="13"/>
      <c r="F27" s="13"/>
      <c r="G27" s="13"/>
      <c r="H27" s="41"/>
      <c r="I27" s="41"/>
      <c r="J27" s="48">
        <f>262.525</f>
        <v>262.52499999999998</v>
      </c>
      <c r="K27" s="48"/>
      <c r="L27" s="48">
        <f>282.969</f>
        <v>282.96899999999999</v>
      </c>
      <c r="M27" s="48"/>
      <c r="N27" s="48">
        <f>304.134</f>
        <v>304.13400000000001</v>
      </c>
      <c r="O27" s="48"/>
      <c r="P27" s="48">
        <v>326.18</v>
      </c>
      <c r="Q27" s="48"/>
      <c r="R27" s="48">
        <v>348.20499999999998</v>
      </c>
      <c r="S27" s="48"/>
      <c r="T27" s="48">
        <v>369.995</v>
      </c>
      <c r="U27" s="34"/>
      <c r="V27" s="35"/>
      <c r="W27" s="36"/>
      <c r="X27" s="35"/>
    </row>
    <row r="28" spans="2:24" x14ac:dyDescent="0.2">
      <c r="B28" s="13"/>
      <c r="C28" s="13"/>
      <c r="D28" s="13"/>
      <c r="E28" s="13"/>
      <c r="F28" s="13"/>
      <c r="G28" s="13"/>
      <c r="H28" s="13"/>
      <c r="I28" s="13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2"/>
      <c r="V28" s="2"/>
      <c r="W28" s="2"/>
      <c r="X28" s="2"/>
    </row>
    <row r="29" spans="2:24" x14ac:dyDescent="0.2">
      <c r="B29" s="12" t="s">
        <v>32</v>
      </c>
      <c r="C29" s="12"/>
      <c r="D29" s="13"/>
      <c r="E29" s="13"/>
      <c r="F29" s="13"/>
      <c r="G29" s="13"/>
      <c r="H29" s="13"/>
      <c r="I29" s="13"/>
      <c r="J29" s="50">
        <v>6.6799999999999998E-2</v>
      </c>
      <c r="K29" s="50"/>
      <c r="L29" s="50">
        <v>7.17E-2</v>
      </c>
      <c r="M29" s="50"/>
      <c r="N29" s="50">
        <v>7.4399999999999994E-2</v>
      </c>
      <c r="O29" s="50"/>
      <c r="P29" s="50">
        <v>7.0000000000000007E-2</v>
      </c>
      <c r="Q29" s="50"/>
      <c r="R29" s="50">
        <v>7.0000000000000007E-2</v>
      </c>
      <c r="S29" s="50"/>
      <c r="T29" s="50">
        <v>6.5000000000000002E-2</v>
      </c>
      <c r="U29" s="37"/>
      <c r="V29" s="37"/>
      <c r="W29" s="37"/>
      <c r="X29" s="37"/>
    </row>
    <row r="30" spans="2:24" x14ac:dyDescent="0.2">
      <c r="B30" s="12" t="s">
        <v>2</v>
      </c>
      <c r="C30" s="12"/>
      <c r="D30" s="55">
        <f>6.199132811</f>
        <v>6.1991328110000001</v>
      </c>
      <c r="E30" s="56">
        <f>2.858548266</f>
        <v>2.8585482660000001</v>
      </c>
      <c r="F30" s="57">
        <f>0.271013973</f>
        <v>0.27101397300000002</v>
      </c>
      <c r="G30" s="14"/>
      <c r="H30" s="13"/>
      <c r="I30" s="13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2"/>
      <c r="V30" s="4"/>
      <c r="W30" s="2"/>
      <c r="X30" s="2"/>
    </row>
    <row r="31" spans="2:24" x14ac:dyDescent="0.2">
      <c r="B31" s="12" t="s">
        <v>6</v>
      </c>
      <c r="C31" s="12"/>
      <c r="D31" s="53">
        <v>23.6</v>
      </c>
      <c r="E31" s="54">
        <v>22.98</v>
      </c>
      <c r="F31" s="58">
        <v>8.5299999999999994</v>
      </c>
      <c r="G31" s="14"/>
      <c r="H31" s="13"/>
      <c r="I31" s="13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2"/>
      <c r="V31" s="4"/>
      <c r="W31" s="2"/>
      <c r="X31" s="2"/>
    </row>
    <row r="32" spans="2:24" x14ac:dyDescent="0.2">
      <c r="B32" s="12" t="s">
        <v>3</v>
      </c>
      <c r="C32" s="12"/>
      <c r="D32" s="31"/>
      <c r="E32" s="13"/>
      <c r="F32" s="42"/>
      <c r="G32" s="13"/>
      <c r="H32" s="13"/>
      <c r="I32" s="13"/>
      <c r="J32" s="48">
        <f>J27*J29</f>
        <v>17.536669999999997</v>
      </c>
      <c r="K32" s="49"/>
      <c r="L32" s="48">
        <f>L27*L29</f>
        <v>20.288877299999999</v>
      </c>
      <c r="M32" s="49"/>
      <c r="N32" s="48">
        <f>N27*N29</f>
        <v>22.627569599999998</v>
      </c>
      <c r="O32" s="49"/>
      <c r="P32" s="48">
        <f>P27*P29</f>
        <v>22.832600000000003</v>
      </c>
      <c r="Q32" s="49"/>
      <c r="R32" s="48">
        <f>R27*R29</f>
        <v>24.37435</v>
      </c>
      <c r="S32" s="49"/>
      <c r="T32" s="49">
        <f>T27*T29</f>
        <v>24.049675000000001</v>
      </c>
      <c r="U32" s="38"/>
      <c r="V32" s="38"/>
      <c r="W32" s="38"/>
      <c r="X32" s="38"/>
    </row>
    <row r="33" spans="2:24" x14ac:dyDescent="0.2">
      <c r="B33" s="13"/>
      <c r="C33" s="13"/>
      <c r="D33" s="13"/>
      <c r="E33" s="13"/>
      <c r="F33" s="13"/>
      <c r="G33" s="13"/>
      <c r="H33" s="13"/>
      <c r="I33" s="13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39"/>
      <c r="V33" s="39"/>
      <c r="W33" s="39"/>
      <c r="X33" s="39"/>
    </row>
    <row r="34" spans="2:24" x14ac:dyDescent="0.2">
      <c r="B34" s="12" t="s">
        <v>1</v>
      </c>
      <c r="C34" s="13"/>
      <c r="D34" s="13"/>
      <c r="E34" s="13"/>
      <c r="F34" s="13"/>
      <c r="G34" s="13"/>
      <c r="H34" s="13"/>
      <c r="I34" s="13"/>
      <c r="J34" s="49">
        <f>J32/(1+G19)</f>
        <v>16.295370176783511</v>
      </c>
      <c r="K34" s="49"/>
      <c r="L34" s="49">
        <f>L32/(1+G19)^2</f>
        <v>17.51831042256585</v>
      </c>
      <c r="M34" s="49"/>
      <c r="N34" s="49">
        <f>N32/(1+G19)^3</f>
        <v>18.154705673345088</v>
      </c>
      <c r="O34" s="49"/>
      <c r="P34" s="49">
        <f>P32/(1+G19)^4</f>
        <v>17.022516839333239</v>
      </c>
      <c r="Q34" s="49"/>
      <c r="R34" s="49">
        <f>R32/(1+G19)^5</f>
        <v>16.885679743366317</v>
      </c>
      <c r="S34" s="49"/>
      <c r="T34" s="49">
        <f>(T32/(G19-G20))/(1+G19)^5</f>
        <v>296.58667541132689</v>
      </c>
      <c r="U34" s="39"/>
      <c r="V34" s="38"/>
      <c r="W34" s="39"/>
      <c r="X34" s="38"/>
    </row>
    <row r="35" spans="2:24" x14ac:dyDescent="0.2">
      <c r="D35" s="40">
        <f ca="1">TODAY()</f>
        <v>45199</v>
      </c>
    </row>
    <row r="36" spans="2:24" ht="16" thickBot="1" x14ac:dyDescent="0.25"/>
    <row r="37" spans="2:24" x14ac:dyDescent="0.2">
      <c r="B37" s="15" t="s">
        <v>28</v>
      </c>
      <c r="C37" s="16"/>
      <c r="D37" s="16"/>
      <c r="E37" s="16"/>
      <c r="F37" s="16"/>
      <c r="G37" s="16"/>
      <c r="H37" s="16"/>
      <c r="I37" s="16"/>
      <c r="J37" s="43">
        <f>SUM(J34:T34)-E8</f>
        <v>382.46325826672091</v>
      </c>
    </row>
    <row r="38" spans="2:24" x14ac:dyDescent="0.2">
      <c r="B38" s="17"/>
      <c r="J38" s="44"/>
    </row>
    <row r="39" spans="2:24" x14ac:dyDescent="0.2">
      <c r="B39" s="18" t="s">
        <v>7</v>
      </c>
      <c r="J39" s="44">
        <f>D31*D30+E30*E31+F30*F31</f>
        <v>214.30072268197003</v>
      </c>
    </row>
    <row r="40" spans="2:24" x14ac:dyDescent="0.2">
      <c r="B40" s="17"/>
      <c r="J40" s="44"/>
    </row>
    <row r="41" spans="2:24" ht="16" thickBot="1" x14ac:dyDescent="0.25">
      <c r="B41" s="32" t="s">
        <v>30</v>
      </c>
      <c r="C41" s="33"/>
      <c r="D41" s="33"/>
      <c r="E41" s="33"/>
      <c r="F41" s="33"/>
      <c r="G41" s="33"/>
      <c r="H41" s="33"/>
      <c r="I41" s="33"/>
      <c r="J41" s="47">
        <f>(J39/J37-1)*-1</f>
        <v>0.43968285044384126</v>
      </c>
    </row>
    <row r="42" spans="2:24" x14ac:dyDescent="0.2">
      <c r="B42" s="25"/>
      <c r="C42" s="26"/>
      <c r="D42" s="26"/>
      <c r="E42" s="26"/>
      <c r="F42" s="26"/>
      <c r="G42" s="26"/>
      <c r="H42" s="26"/>
      <c r="I42" s="26"/>
      <c r="J42" s="45"/>
    </row>
    <row r="43" spans="2:24" ht="16" thickBot="1" x14ac:dyDescent="0.25">
      <c r="B43" s="27" t="s">
        <v>29</v>
      </c>
      <c r="C43" s="28"/>
      <c r="D43" s="28"/>
      <c r="E43" s="28"/>
      <c r="F43" s="28"/>
      <c r="G43" s="28"/>
      <c r="H43" s="28"/>
      <c r="I43" s="28"/>
      <c r="J43" s="46">
        <f>J37/(D30+E30+F30)</f>
        <v>40.998580853676948</v>
      </c>
    </row>
    <row r="44" spans="2:24" x14ac:dyDescent="0.2">
      <c r="B44" s="4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Tilman Reichel</cp:lastModifiedBy>
  <dcterms:created xsi:type="dcterms:W3CDTF">2015-06-05T18:19:34Z</dcterms:created>
  <dcterms:modified xsi:type="dcterms:W3CDTF">2023-09-29T22:12:52Z</dcterms:modified>
</cp:coreProperties>
</file>