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F6211917-8477-4D0C-A7A0-FFB0B33892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32" l="1"/>
  <c r="G11" i="35"/>
  <c r="I12" i="32" l="1"/>
  <c r="J12" i="34" l="1"/>
  <c r="H12" i="35" l="1"/>
  <c r="H11" i="35" s="1"/>
  <c r="H12" i="34" l="1"/>
  <c r="I12" i="34"/>
  <c r="H12" i="32"/>
  <c r="I12" i="35" l="1"/>
  <c r="I11" i="35" s="1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J12" i="35" l="1"/>
  <c r="K12" i="35" s="1"/>
  <c r="L12" i="35" s="1"/>
  <c r="M12" i="35" s="1"/>
  <c r="N12" i="35" s="1"/>
  <c r="O12" i="35" s="1"/>
  <c r="J11" i="35" l="1"/>
  <c r="K11" i="35" s="1"/>
  <c r="L11" i="35" s="1"/>
  <c r="D14" i="34"/>
  <c r="E14" i="34"/>
  <c r="F14" i="34"/>
  <c r="G14" i="34"/>
  <c r="H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G12" i="34" l="1"/>
  <c r="E12" i="34"/>
  <c r="F12" i="34"/>
  <c r="D12" i="34"/>
  <c r="D12" i="32" l="1"/>
  <c r="E12" i="32"/>
  <c r="F12" i="32"/>
  <c r="G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H17" i="32" l="1"/>
  <c r="G17" i="32"/>
  <c r="I17" i="32" l="1"/>
  <c r="H14" i="35" l="1"/>
  <c r="G14" i="35"/>
  <c r="I14" i="35" l="1"/>
  <c r="I57" i="35" l="1"/>
  <c r="H19" i="35"/>
  <c r="H17" i="35"/>
  <c r="H16" i="35"/>
  <c r="H57" i="35"/>
  <c r="G19" i="35"/>
  <c r="G17" i="35"/>
  <c r="G16" i="35"/>
  <c r="J14" i="35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I14" i="34" l="1"/>
  <c r="I19" i="34" l="1"/>
  <c r="I17" i="34"/>
  <c r="J57" i="34"/>
  <c r="I16" i="34"/>
  <c r="J14" i="34"/>
  <c r="K11" i="34" l="1"/>
  <c r="J19" i="34" l="1"/>
  <c r="K57" i="34"/>
  <c r="J17" i="34"/>
  <c r="J16" i="34"/>
  <c r="L11" i="34"/>
  <c r="K14" i="34"/>
  <c r="K15" i="34" s="1"/>
  <c r="K17" i="34" l="1"/>
  <c r="L57" i="34"/>
  <c r="K19" i="34"/>
  <c r="M11" i="34"/>
  <c r="L14" i="34"/>
  <c r="L15" i="34" s="1"/>
  <c r="L19" i="34" l="1"/>
  <c r="L17" i="34"/>
  <c r="M57" i="34"/>
  <c r="M14" i="34"/>
  <c r="M15" i="34" s="1"/>
  <c r="N11" i="34"/>
  <c r="N14" i="34" l="1"/>
  <c r="N15" i="34" s="1"/>
  <c r="O11" i="34"/>
  <c r="M19" i="34"/>
  <c r="N57" i="34"/>
  <c r="M17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P57" i="34"/>
  <c r="O17" i="34"/>
  <c r="O19" i="34"/>
  <c r="D44" i="34" l="1"/>
  <c r="D41" i="34"/>
  <c r="D43" i="34"/>
  <c r="D42" i="34"/>
  <c r="P17" i="34"/>
  <c r="P19" i="34"/>
  <c r="D40" i="34"/>
  <c r="Q19" i="34"/>
  <c r="Q57" i="34"/>
  <c r="D57" i="34" s="1"/>
  <c r="D49" i="34" l="1"/>
  <c r="D51" i="34" s="1"/>
  <c r="D52" i="34" s="1"/>
  <c r="E62" i="34"/>
  <c r="E66" i="34"/>
  <c r="E68" i="34" s="1"/>
  <c r="D53" i="34" l="1"/>
  <c r="E70" i="34"/>
  <c r="E72" i="34" s="1"/>
  <c r="J14" i="32"/>
  <c r="E74" i="34" l="1"/>
  <c r="K11" i="32"/>
  <c r="J19" i="32" l="1"/>
  <c r="K57" i="32"/>
  <c r="J17" i="32"/>
  <c r="J16" i="32"/>
  <c r="L11" i="32"/>
  <c r="K14" i="32"/>
  <c r="K15" i="32" s="1"/>
  <c r="K19" i="32" l="1"/>
  <c r="L57" i="32"/>
  <c r="K17" i="32"/>
  <c r="M11" i="32"/>
  <c r="L14" i="32"/>
  <c r="L15" i="32" s="1"/>
  <c r="M57" i="32" l="1"/>
  <c r="L17" i="32"/>
  <c r="L19" i="32"/>
  <c r="M14" i="32"/>
  <c r="M15" i="32" s="1"/>
  <c r="N11" i="32"/>
  <c r="M17" i="32" l="1"/>
  <c r="N57" i="32"/>
  <c r="M19" i="32"/>
  <c r="N14" i="32"/>
  <c r="N15" i="32" s="1"/>
  <c r="O11" i="32"/>
  <c r="O57" i="32" l="1"/>
  <c r="N17" i="32"/>
  <c r="N19" i="32"/>
  <c r="O14" i="32"/>
  <c r="O15" i="32" s="1"/>
  <c r="P11" i="32"/>
  <c r="Q11" i="32" l="1"/>
  <c r="Q14" i="32" s="1"/>
  <c r="Q15" i="32" s="1"/>
  <c r="P14" i="32"/>
  <c r="P15" i="32" s="1"/>
  <c r="O19" i="32"/>
  <c r="P57" i="32"/>
  <c r="O17" i="32"/>
  <c r="D40" i="32" l="1"/>
  <c r="D41" i="32"/>
  <c r="P19" i="32"/>
  <c r="P17" i="32"/>
  <c r="D44" i="32"/>
  <c r="Q19" i="32"/>
  <c r="Q57" i="32"/>
  <c r="D57" i="32" s="1"/>
  <c r="D43" i="32"/>
  <c r="D42" i="32"/>
  <c r="D49" i="32" l="1"/>
  <c r="D51" i="32" s="1"/>
  <c r="E62" i="32"/>
  <c r="E66" i="32"/>
  <c r="E68" i="32" s="1"/>
  <c r="E70" i="32" l="1"/>
  <c r="D52" i="32"/>
  <c r="D53" i="32"/>
  <c r="E72" i="32" l="1"/>
  <c r="E74" i="32"/>
</calcChain>
</file>

<file path=xl/sharedStrings.xml><?xml version="1.0" encoding="utf-8"?>
<sst xmlns="http://schemas.openxmlformats.org/spreadsheetml/2006/main" count="148" uniqueCount="49">
  <si>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</si>
  <si>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</si>
  <si>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</si>
  <si>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</si>
  <si>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</si>
  <si>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</si>
  <si>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</si>
  <si>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</si>
  <si>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</si>
  <si>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</si>
  <si>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</si>
  <si>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</si>
  <si>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</si>
  <si>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</si>
  <si>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</si>
  <si>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</si>
  <si>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</si>
  <si>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</si>
  <si>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</si>
  <si>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</si>
  <si>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</si>
  <si>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</si>
  <si>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</si>
  <si>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</si>
  <si>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</si>
  <si>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</si>
  <si>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</si>
  <si>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</si>
  <si>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</si>
  <si>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</si>
  <si>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</si>
  <si>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</si>
  <si>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</si>
  <si>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</si>
  <si>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</si>
  <si>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</si>
  <si>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</si>
  <si>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</si>
  <si>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</si>
  <si>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</si>
  <si>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</si>
  <si>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USD</t>
  </si>
  <si>
    <t>2033ff.</t>
  </si>
  <si>
    <t>KGV Multiple in 2032</t>
  </si>
  <si>
    <t>Quellensteuer USA (25 %)</t>
  </si>
  <si>
    <t>Gesamtwert 2032</t>
  </si>
  <si>
    <t>Steigerung Gesamt bis 2032 in Prozent</t>
  </si>
  <si>
    <t>Renditeerwartung bis 2032 pro Jahr</t>
  </si>
  <si>
    <t xml:space="preserve"> Annahmen für Enphase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</si>
</sst>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  <xf numFmtId="4" fontId="13" fillId="2" borderId="8" xfId="0" quotePrefix="1" applyNumberFormat="1" applyFont="1" applyFill="1" applyBorder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12332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26620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topLeftCell="A50" zoomScaleNormal="100" workbookViewId="0">
      <selection activeCell="A75" sqref="A75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48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42</v>
      </c>
    </row>
    <row r="11" spans="1:28" x14ac:dyDescent="0.35">
      <c r="A11" s="5"/>
      <c r="B11" s="4" t="s">
        <v>4</v>
      </c>
      <c r="C11" s="82">
        <v>624.33000000000004</v>
      </c>
      <c r="D11" s="82">
        <v>774.43</v>
      </c>
      <c r="E11" s="82">
        <v>1382.05</v>
      </c>
      <c r="F11" s="82">
        <v>2330.85</v>
      </c>
      <c r="G11" s="72">
        <v>2688.22</v>
      </c>
      <c r="H11" s="72">
        <v>3161.63</v>
      </c>
      <c r="I11" s="72">
        <v>4030.17</v>
      </c>
      <c r="J11" s="72">
        <v>4842.95</v>
      </c>
      <c r="K11" s="72">
        <f>J11*(1+K12)</f>
        <v>5472.5334999999995</v>
      </c>
      <c r="L11" s="72">
        <f t="shared" ref="L11:Q11" si="0">K11*(1+L12)</f>
        <v>5965.0615150000003</v>
      </c>
      <c r="M11" s="72">
        <f t="shared" si="0"/>
        <v>6382.6158210500007</v>
      </c>
      <c r="N11" s="72">
        <f t="shared" si="0"/>
        <v>6701.7466121025009</v>
      </c>
      <c r="O11" s="72">
        <f t="shared" si="0"/>
        <v>6902.7990104655764</v>
      </c>
      <c r="P11" s="72">
        <f t="shared" si="0"/>
        <v>7040.8549906748876</v>
      </c>
      <c r="Q11" s="72">
        <f t="shared" si="0"/>
        <v>7146.4678155350102</v>
      </c>
    </row>
    <row r="12" spans="1:28" x14ac:dyDescent="0.35">
      <c r="A12" s="5"/>
      <c r="B12" s="4" t="s">
        <v>1</v>
      </c>
      <c r="C12" s="86"/>
      <c r="D12" s="89">
        <f t="shared" ref="D12:J12" si="1">D11/C11-1</f>
        <v>0.24041772780420589</v>
      </c>
      <c r="E12" s="89">
        <f t="shared" si="1"/>
        <v>0.78460286920702971</v>
      </c>
      <c r="F12" s="89">
        <f t="shared" si="1"/>
        <v>0.68651640678701931</v>
      </c>
      <c r="G12" s="85">
        <f t="shared" si="1"/>
        <v>0.15332174957633482</v>
      </c>
      <c r="H12" s="85">
        <f t="shared" si="1"/>
        <v>0.17610537828005168</v>
      </c>
      <c r="I12" s="85">
        <f t="shared" si="1"/>
        <v>0.27471272729573037</v>
      </c>
      <c r="J12" s="85">
        <f t="shared" si="1"/>
        <v>0.20167387479932608</v>
      </c>
      <c r="K12" s="71">
        <v>0.13</v>
      </c>
      <c r="L12" s="71">
        <v>0.09</v>
      </c>
      <c r="M12" s="71">
        <v>7.0000000000000007E-2</v>
      </c>
      <c r="N12" s="71">
        <v>0.05</v>
      </c>
      <c r="O12" s="71">
        <v>0.03</v>
      </c>
      <c r="P12" s="71">
        <v>0.02</v>
      </c>
      <c r="Q12" s="12">
        <v>1.4999999999999999E-2</v>
      </c>
    </row>
    <row r="13" spans="1:28" ht="16" customHeight="1" x14ac:dyDescent="0.35">
      <c r="A13" s="5"/>
      <c r="B13" s="4" t="s">
        <v>15</v>
      </c>
      <c r="C13" s="88">
        <v>0.16869999999999999</v>
      </c>
      <c r="D13" s="88">
        <v>0.2407</v>
      </c>
      <c r="E13" s="88">
        <v>0.15970000000000001</v>
      </c>
      <c r="F13" s="88">
        <v>0.19420000000000001</v>
      </c>
      <c r="G13" s="84">
        <v>0.23949999999999999</v>
      </c>
      <c r="H13" s="84">
        <v>0.27460000000000001</v>
      </c>
      <c r="I13" s="84">
        <v>0.29320000000000002</v>
      </c>
      <c r="J13" s="84">
        <v>0.26550000000000001</v>
      </c>
      <c r="K13" s="84">
        <v>0.27</v>
      </c>
      <c r="L13" s="84">
        <v>0.27</v>
      </c>
      <c r="M13" s="84">
        <v>0.27</v>
      </c>
      <c r="N13" s="84">
        <v>0.27</v>
      </c>
      <c r="O13" s="84">
        <v>0.27</v>
      </c>
      <c r="P13" s="84">
        <v>0.27</v>
      </c>
      <c r="Q13" s="84">
        <v>0.27</v>
      </c>
    </row>
    <row r="14" spans="1:28" ht="17.149999999999999" customHeight="1" x14ac:dyDescent="0.35">
      <c r="A14" s="5"/>
      <c r="B14" s="4" t="s">
        <v>16</v>
      </c>
      <c r="C14" s="82">
        <f>C11*C13</f>
        <v>105.324471</v>
      </c>
      <c r="D14" s="82">
        <f t="shared" ref="D14:I14" si="2">D11*D13</f>
        <v>186.40530099999998</v>
      </c>
      <c r="E14" s="82">
        <f t="shared" si="2"/>
        <v>220.71338500000002</v>
      </c>
      <c r="F14" s="82">
        <f t="shared" si="2"/>
        <v>452.65107</v>
      </c>
      <c r="G14" s="72">
        <f t="shared" si="2"/>
        <v>643.82868999999994</v>
      </c>
      <c r="H14" s="72">
        <f t="shared" si="2"/>
        <v>868.18359800000007</v>
      </c>
      <c r="I14" s="72">
        <f t="shared" si="2"/>
        <v>1181.6458440000001</v>
      </c>
      <c r="J14" s="72">
        <f>J11*J13</f>
        <v>1285.8032250000001</v>
      </c>
      <c r="K14" s="72">
        <f t="shared" ref="K14:Q14" si="3">K11*K13</f>
        <v>1477.5840450000001</v>
      </c>
      <c r="L14" s="72">
        <f t="shared" si="3"/>
        <v>1610.5666090500001</v>
      </c>
      <c r="M14" s="72">
        <f t="shared" si="3"/>
        <v>1723.3062716835002</v>
      </c>
      <c r="N14" s="72">
        <f t="shared" si="3"/>
        <v>1809.4715852676754</v>
      </c>
      <c r="O14" s="72">
        <f t="shared" si="3"/>
        <v>1863.7557328257058</v>
      </c>
      <c r="P14" s="72">
        <f>P11*P13</f>
        <v>1901.0308474822198</v>
      </c>
      <c r="Q14" s="72">
        <f t="shared" si="3"/>
        <v>1929.5463101944529</v>
      </c>
    </row>
    <row r="15" spans="1:28" x14ac:dyDescent="0.35">
      <c r="A15" s="100">
        <v>0.2</v>
      </c>
      <c r="B15" s="4" t="s">
        <v>39</v>
      </c>
      <c r="C15" s="82">
        <v>161.13957300000001</v>
      </c>
      <c r="D15" s="82">
        <v>133.97638999999998</v>
      </c>
      <c r="E15" s="82">
        <v>145.39166</v>
      </c>
      <c r="F15" s="82">
        <v>397.40992499999999</v>
      </c>
      <c r="G15" s="72">
        <v>523.665256</v>
      </c>
      <c r="H15" s="72">
        <v>725.27792199999999</v>
      </c>
      <c r="I15" s="72">
        <v>991.42182000000003</v>
      </c>
      <c r="J15" s="72">
        <v>1246.0910349999999</v>
      </c>
      <c r="K15" s="72">
        <f>K14*(1-$A$15)</f>
        <v>1182.0672360000001</v>
      </c>
      <c r="L15" s="72">
        <f t="shared" ref="L15:Q15" si="4">L14*(1-$A$15)</f>
        <v>1288.4532872400002</v>
      </c>
      <c r="M15" s="72">
        <f t="shared" si="4"/>
        <v>1378.6450173468002</v>
      </c>
      <c r="N15" s="72">
        <f t="shared" si="4"/>
        <v>1447.5772682141405</v>
      </c>
      <c r="O15" s="72">
        <f t="shared" si="4"/>
        <v>1491.0045862605648</v>
      </c>
      <c r="P15" s="72">
        <f>P14*(1-$A$15)</f>
        <v>1520.8246779857759</v>
      </c>
      <c r="Q15" s="72">
        <f t="shared" si="4"/>
        <v>1543.6370481555623</v>
      </c>
    </row>
    <row r="16" spans="1:28" ht="31.5" hidden="1" thickBot="1" x14ac:dyDescent="0.4">
      <c r="A16" s="13" t="s">
        <v>6</v>
      </c>
      <c r="B16" s="14"/>
      <c r="C16" s="15">
        <f t="shared" ref="C16:J16" si="5">C15/C14</f>
        <v>1.5299347954949616</v>
      </c>
      <c r="D16" s="15">
        <f t="shared" si="5"/>
        <v>0.71873701703365178</v>
      </c>
      <c r="E16" s="15">
        <f t="shared" si="5"/>
        <v>0.6587351283656856</v>
      </c>
      <c r="F16" s="15">
        <f t="shared" si="5"/>
        <v>0.87796086508753857</v>
      </c>
      <c r="G16" s="15">
        <f t="shared" si="5"/>
        <v>0.8133611691022965</v>
      </c>
      <c r="H16" s="15">
        <f t="shared" si="5"/>
        <v>0.8353969410050982</v>
      </c>
      <c r="I16" s="15">
        <f t="shared" si="5"/>
        <v>0.83901773533424273</v>
      </c>
      <c r="J16" s="15">
        <f t="shared" si="5"/>
        <v>0.96911487758945369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3.6264906925207754</v>
      </c>
      <c r="H17" s="72">
        <f t="shared" ref="H17:P17" si="6">H15/H18</f>
        <v>5.0227002908587259</v>
      </c>
      <c r="I17" s="72">
        <f t="shared" si="6"/>
        <v>6.8658020775623267</v>
      </c>
      <c r="J17" s="72">
        <f t="shared" si="6"/>
        <v>8.6294393005540151</v>
      </c>
      <c r="K17" s="72">
        <f t="shared" si="6"/>
        <v>8.1860611911357353</v>
      </c>
      <c r="L17" s="72">
        <f t="shared" si="6"/>
        <v>8.9228066983379506</v>
      </c>
      <c r="M17" s="72">
        <f t="shared" si="6"/>
        <v>9.5474031672216082</v>
      </c>
      <c r="N17" s="72">
        <f t="shared" si="6"/>
        <v>10.024773325582689</v>
      </c>
      <c r="O17" s="72">
        <f t="shared" si="6"/>
        <v>10.325516525350171</v>
      </c>
      <c r="P17" s="72">
        <f t="shared" si="6"/>
        <v>10.532026855857174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144.4</v>
      </c>
      <c r="H18" s="72">
        <f>G18*1</f>
        <v>144.4</v>
      </c>
      <c r="I18" s="72">
        <f t="shared" ref="I18:P18" si="7">H18*1</f>
        <v>144.4</v>
      </c>
      <c r="J18" s="72">
        <f t="shared" si="7"/>
        <v>144.4</v>
      </c>
      <c r="K18" s="72">
        <f t="shared" si="7"/>
        <v>144.4</v>
      </c>
      <c r="L18" s="72">
        <f t="shared" si="7"/>
        <v>144.4</v>
      </c>
      <c r="M18" s="72">
        <f t="shared" si="7"/>
        <v>144.4</v>
      </c>
      <c r="N18" s="72">
        <f t="shared" si="7"/>
        <v>144.4</v>
      </c>
      <c r="O18" s="72">
        <f t="shared" si="7"/>
        <v>144.4</v>
      </c>
      <c r="P18" s="72">
        <f t="shared" si="7"/>
        <v>144.4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476.38413099840795</v>
      </c>
      <c r="H19" s="53">
        <f>H15/(1+$C$55)^2</f>
        <v>600.2214460838635</v>
      </c>
      <c r="I19" s="53">
        <f>I15/(1+$C$55)^3</f>
        <v>746.39556479584905</v>
      </c>
      <c r="J19" s="53">
        <f>J15/(1+$C$55)^4</f>
        <v>853.4220789445427</v>
      </c>
      <c r="K19" s="53">
        <f>K15/(1+$C$55)^5</f>
        <v>736.4780513752894</v>
      </c>
      <c r="L19" s="53">
        <f>L15/(1+$C$55)^6</f>
        <v>730.28071503212675</v>
      </c>
      <c r="M19" s="53">
        <f>M15/(1+$C$55)^7</f>
        <v>710.8486377842853</v>
      </c>
      <c r="N19" s="53">
        <f>N15/(1+$C$55)^8</f>
        <v>679.00029081055243</v>
      </c>
      <c r="O19" s="53">
        <f>O15/(1+$C$55)^9</f>
        <v>636.22497114839109</v>
      </c>
      <c r="P19" s="53">
        <f>P15/(1+$C$55)^10</f>
        <v>590.35658000578474</v>
      </c>
      <c r="Q19" s="54">
        <f>(Q15/(C55-Q12))/(1+C55)^10</f>
        <v>7112.3077591201345</v>
      </c>
    </row>
    <row r="20" spans="1:18" x14ac:dyDescent="0.35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90" t="s">
        <v>25</v>
      </c>
      <c r="H23" s="91"/>
      <c r="I23" s="92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35">
      <c r="A25" s="35"/>
      <c r="B25" s="36"/>
      <c r="C25" s="36"/>
      <c r="D25" s="38"/>
      <c r="F25" s="36"/>
      <c r="G25" s="93" t="s">
        <v>27</v>
      </c>
      <c r="H25" s="6"/>
      <c r="I25" s="95">
        <f>(I27-I23)*I29</f>
        <v>6.1750000000000013E-2</v>
      </c>
      <c r="J25" s="26"/>
    </row>
    <row r="26" spans="1:18" x14ac:dyDescent="0.35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35">
      <c r="A27" s="35"/>
      <c r="B27" s="36"/>
      <c r="C27" s="36"/>
      <c r="D27" s="38"/>
      <c r="F27" s="36"/>
      <c r="G27" s="93" t="s">
        <v>28</v>
      </c>
      <c r="H27" s="6"/>
      <c r="I27" s="96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35">
      <c r="A29" s="35"/>
      <c r="B29" s="36"/>
      <c r="C29" s="36"/>
      <c r="D29" s="39"/>
      <c r="F29" s="36"/>
      <c r="G29" s="93" t="s">
        <v>35</v>
      </c>
      <c r="H29" s="6"/>
      <c r="I29" s="79">
        <v>1.9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35">
      <c r="A31" s="35"/>
      <c r="B31" s="36"/>
      <c r="C31" s="36"/>
      <c r="D31" s="37"/>
      <c r="F31" s="36"/>
      <c r="G31" s="93" t="s">
        <v>31</v>
      </c>
      <c r="H31" s="6"/>
      <c r="I31" s="96">
        <f>I23+(I27-I23)*I29</f>
        <v>9.9250000000000005E-2</v>
      </c>
      <c r="J31" s="26" t="s">
        <v>32</v>
      </c>
    </row>
    <row r="32" spans="1:18" x14ac:dyDescent="0.35">
      <c r="A32" s="25"/>
      <c r="C32" s="41"/>
      <c r="E32" s="36"/>
      <c r="F32" s="36"/>
      <c r="G32" s="93"/>
      <c r="H32" s="6"/>
      <c r="I32" s="6"/>
      <c r="J32" s="26"/>
    </row>
    <row r="33" spans="1:10" x14ac:dyDescent="0.35">
      <c r="A33" s="25"/>
      <c r="G33" s="97" t="s">
        <v>34</v>
      </c>
      <c r="H33" s="98"/>
      <c r="I33" s="99">
        <f>I31</f>
        <v>9.9250000000000005E-2</v>
      </c>
      <c r="J33" s="26"/>
    </row>
    <row r="34" spans="1:10" x14ac:dyDescent="0.35">
      <c r="A34" s="35" t="s">
        <v>7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45171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18588.612000000001</v>
      </c>
      <c r="D49" s="47">
        <f>SUM(G19:Q19)</f>
        <v>13871.920226099228</v>
      </c>
      <c r="E49" s="46" t="s">
        <v>41</v>
      </c>
    </row>
    <row r="50" spans="1:17" x14ac:dyDescent="0.35">
      <c r="A50" s="45"/>
      <c r="B50" s="46" t="s">
        <v>11</v>
      </c>
      <c r="C50" s="56">
        <v>144.4</v>
      </c>
      <c r="D50" s="56">
        <f>C50</f>
        <v>144.4</v>
      </c>
      <c r="E50" s="46"/>
    </row>
    <row r="51" spans="1:17" x14ac:dyDescent="0.35">
      <c r="A51" s="45"/>
      <c r="B51" s="46" t="s">
        <v>13</v>
      </c>
      <c r="C51" s="87">
        <v>128.72999999999999</v>
      </c>
      <c r="D51" s="56">
        <f>D49/(D50)</f>
        <v>96.065929543623454</v>
      </c>
      <c r="E51" s="46" t="s">
        <v>41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0.34001722162636039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3">
        <v>0.108</v>
      </c>
      <c r="C57" s="50"/>
      <c r="D57" s="74">
        <f>SUM(H57:Q57)*1000</f>
        <v>11877415.697987102</v>
      </c>
      <c r="E57" s="46"/>
      <c r="F57" s="1" t="s">
        <v>23</v>
      </c>
      <c r="H57" s="1">
        <f>G15/(1+$B$57)</f>
        <v>472.62207220216601</v>
      </c>
      <c r="I57" s="1">
        <f>H15/(1+$B$57)^2</f>
        <v>590.77884665511067</v>
      </c>
      <c r="J57" s="1">
        <f>I15/(1+$B$57)^3</f>
        <v>728.85173475892657</v>
      </c>
      <c r="K57" s="1">
        <f>J15/(1+$B$57)^4</f>
        <v>826.78146117594429</v>
      </c>
      <c r="L57" s="1">
        <f>K15/(1+$B$57)^5</f>
        <v>707.85349050969626</v>
      </c>
      <c r="M57" s="1">
        <f>L15/(1+$B$57)^6</f>
        <v>696.35406557361819</v>
      </c>
      <c r="N57" s="1">
        <f>M15/(1+$B$57)^7</f>
        <v>672.47188642939648</v>
      </c>
      <c r="O57" s="1">
        <f>N15/(1+$B$57)^8</f>
        <v>637.27028948634143</v>
      </c>
      <c r="P57" s="1">
        <f>O15/(1+$B$57)^9</f>
        <v>592.40830159831364</v>
      </c>
      <c r="Q57" s="1">
        <f>(Q15/(B57-Q12))/(1+B57)^10</f>
        <v>5952.0235495975885</v>
      </c>
    </row>
    <row r="58" spans="1:17" ht="16" thickBot="1" x14ac:dyDescent="0.4">
      <c r="A58" s="22"/>
      <c r="C58" s="65"/>
      <c r="D58" s="66"/>
    </row>
    <row r="59" spans="1:17" x14ac:dyDescent="0.35">
      <c r="A59" s="59" t="s">
        <v>43</v>
      </c>
      <c r="B59" s="23"/>
      <c r="C59" s="67">
        <v>15</v>
      </c>
      <c r="D59" s="23"/>
      <c r="E59" s="24"/>
    </row>
    <row r="60" spans="1:17" x14ac:dyDescent="0.35">
      <c r="A60" s="25" t="s">
        <v>21</v>
      </c>
      <c r="C60" s="68"/>
      <c r="E60" s="26"/>
    </row>
    <row r="61" spans="1:17" x14ac:dyDescent="0.35">
      <c r="A61" s="25"/>
      <c r="C61" s="68"/>
      <c r="E61" s="26"/>
    </row>
    <row r="62" spans="1:17" x14ac:dyDescent="0.35">
      <c r="A62" s="25" t="s">
        <v>37</v>
      </c>
      <c r="C62" s="68"/>
      <c r="E62" s="60">
        <f>P17*C59</f>
        <v>157.98040283785761</v>
      </c>
    </row>
    <row r="63" spans="1:17" x14ac:dyDescent="0.35">
      <c r="A63" s="25"/>
      <c r="C63" s="68"/>
      <c r="E63" s="26"/>
    </row>
    <row r="64" spans="1:17" x14ac:dyDescent="0.35">
      <c r="A64" s="25" t="s">
        <v>17</v>
      </c>
      <c r="C64" s="69">
        <v>0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0</v>
      </c>
    </row>
    <row r="67" spans="1:5" x14ac:dyDescent="0.35">
      <c r="A67" s="25"/>
      <c r="E67" s="61"/>
    </row>
    <row r="68" spans="1:5" x14ac:dyDescent="0.35">
      <c r="A68" s="103" t="s">
        <v>44</v>
      </c>
      <c r="E68" s="104">
        <f>(E66*0.25)*-1</f>
        <v>0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45</v>
      </c>
      <c r="E70" s="60">
        <f>SUM(E62:E68)</f>
        <v>157.98040283785761</v>
      </c>
    </row>
    <row r="71" spans="1:5" x14ac:dyDescent="0.35">
      <c r="A71" s="25"/>
      <c r="E71" s="60"/>
    </row>
    <row r="72" spans="1:5" x14ac:dyDescent="0.35">
      <c r="A72" s="25" t="s">
        <v>46</v>
      </c>
      <c r="E72" s="62">
        <f>E70/C51-1</f>
        <v>0.22722289161700937</v>
      </c>
    </row>
    <row r="73" spans="1:5" x14ac:dyDescent="0.35">
      <c r="A73" s="25"/>
      <c r="E73" s="26"/>
    </row>
    <row r="74" spans="1:5" ht="16" thickBot="1" x14ac:dyDescent="0.4">
      <c r="A74" s="63" t="s">
        <v>47</v>
      </c>
      <c r="B74" s="64"/>
      <c r="C74" s="64"/>
      <c r="D74" s="64"/>
      <c r="E74" s="102">
        <f>(E70/C51)^(1/10)-1</f>
        <v>2.0686439143149604E-2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11" priority="5" percent="1" rank="10"/>
  </conditionalFormatting>
  <conditionalFormatting sqref="K9">
    <cfRule type="top10" dxfId="10" priority="4" percent="1" rank="10"/>
  </conditionalFormatting>
  <conditionalFormatting sqref="L2:L5">
    <cfRule type="top10" dxfId="9" priority="3" percent="1" rank="10"/>
  </conditionalFormatting>
  <conditionalFormatting sqref="L6:L8">
    <cfRule type="top10" dxfId="8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49" zoomScaleNormal="100" workbookViewId="0">
      <selection activeCell="C51" sqref="C51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48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42</v>
      </c>
    </row>
    <row r="11" spans="1:28" x14ac:dyDescent="0.35">
      <c r="A11" s="5"/>
      <c r="B11" s="4" t="s">
        <v>4</v>
      </c>
      <c r="C11" s="82">
        <v>624.33000000000004</v>
      </c>
      <c r="D11" s="82">
        <v>774.43</v>
      </c>
      <c r="E11" s="82">
        <v>1382.05</v>
      </c>
      <c r="F11" s="82">
        <v>2330.85</v>
      </c>
      <c r="G11" s="72">
        <v>2688.22</v>
      </c>
      <c r="H11" s="72">
        <v>3161.63</v>
      </c>
      <c r="I11" s="72">
        <v>4030.17</v>
      </c>
      <c r="J11" s="72">
        <v>4842.95</v>
      </c>
      <c r="K11" s="72">
        <f>J11*(1+K12)</f>
        <v>5666.2514999999994</v>
      </c>
      <c r="L11" s="72">
        <f t="shared" ref="L11:Q11" si="0">K11*(1+L12)</f>
        <v>6459.5267100000001</v>
      </c>
      <c r="M11" s="72">
        <f t="shared" si="0"/>
        <v>7170.0746481000006</v>
      </c>
      <c r="N11" s="72">
        <f t="shared" si="0"/>
        <v>7815.381366429001</v>
      </c>
      <c r="O11" s="72">
        <f t="shared" si="0"/>
        <v>8362.4580620790312</v>
      </c>
      <c r="P11" s="72">
        <f t="shared" si="0"/>
        <v>8696.9563845621924</v>
      </c>
      <c r="Q11" s="72">
        <f t="shared" si="0"/>
        <v>8870.8955122534371</v>
      </c>
    </row>
    <row r="12" spans="1:28" x14ac:dyDescent="0.35">
      <c r="A12" s="5"/>
      <c r="B12" s="4" t="s">
        <v>1</v>
      </c>
      <c r="C12" s="89"/>
      <c r="D12" s="89">
        <f t="shared" ref="D12:H12" si="1">D11/C11-1</f>
        <v>0.24041772780420589</v>
      </c>
      <c r="E12" s="89">
        <f t="shared" si="1"/>
        <v>0.78460286920702971</v>
      </c>
      <c r="F12" s="89">
        <f t="shared" si="1"/>
        <v>0.68651640678701931</v>
      </c>
      <c r="G12" s="85">
        <f t="shared" si="1"/>
        <v>0.15332174957633482</v>
      </c>
      <c r="H12" s="85">
        <f t="shared" si="1"/>
        <v>0.17610537828005168</v>
      </c>
      <c r="I12" s="85">
        <f t="shared" ref="I12:J12" si="2">I11/H11-1</f>
        <v>0.27471272729573037</v>
      </c>
      <c r="J12" s="85">
        <f t="shared" si="2"/>
        <v>0.20167387479932608</v>
      </c>
      <c r="K12" s="85">
        <v>0.17</v>
      </c>
      <c r="L12" s="71">
        <v>0.14000000000000001</v>
      </c>
      <c r="M12" s="71">
        <v>0.11</v>
      </c>
      <c r="N12" s="71">
        <v>0.09</v>
      </c>
      <c r="O12" s="71">
        <v>7.0000000000000007E-2</v>
      </c>
      <c r="P12" s="71">
        <v>0.04</v>
      </c>
      <c r="Q12" s="12">
        <v>0.02</v>
      </c>
    </row>
    <row r="13" spans="1:28" ht="16" customHeight="1" x14ac:dyDescent="0.35">
      <c r="A13" s="5"/>
      <c r="B13" s="4" t="s">
        <v>15</v>
      </c>
      <c r="C13" s="88">
        <v>0.16869999999999999</v>
      </c>
      <c r="D13" s="88">
        <v>0.2407</v>
      </c>
      <c r="E13" s="88">
        <v>0.15970000000000001</v>
      </c>
      <c r="F13" s="88">
        <v>0.19420000000000001</v>
      </c>
      <c r="G13" s="84">
        <v>0.23949999999999999</v>
      </c>
      <c r="H13" s="84">
        <v>0.27460000000000001</v>
      </c>
      <c r="I13" s="84">
        <v>0.29320000000000002</v>
      </c>
      <c r="J13" s="84">
        <v>0.26550000000000001</v>
      </c>
      <c r="K13" s="84">
        <v>0.27500000000000002</v>
      </c>
      <c r="L13" s="84">
        <v>0.28000000000000003</v>
      </c>
      <c r="M13" s="84">
        <v>0.28499999999999998</v>
      </c>
      <c r="N13" s="84">
        <v>0.28999999999999998</v>
      </c>
      <c r="O13" s="84">
        <v>0.29499999999999998</v>
      </c>
      <c r="P13" s="84">
        <v>0.3</v>
      </c>
      <c r="Q13" s="84">
        <v>0.3</v>
      </c>
    </row>
    <row r="14" spans="1:28" ht="17.149999999999999" customHeight="1" x14ac:dyDescent="0.35">
      <c r="A14" s="5"/>
      <c r="B14" s="4" t="s">
        <v>16</v>
      </c>
      <c r="C14" s="82">
        <f t="shared" ref="C14:J14" si="3">C11*C13</f>
        <v>105.324471</v>
      </c>
      <c r="D14" s="82">
        <f t="shared" si="3"/>
        <v>186.40530099999998</v>
      </c>
      <c r="E14" s="82">
        <f t="shared" si="3"/>
        <v>220.71338500000002</v>
      </c>
      <c r="F14" s="82">
        <f t="shared" si="3"/>
        <v>452.65107</v>
      </c>
      <c r="G14" s="72">
        <f t="shared" si="3"/>
        <v>643.82868999999994</v>
      </c>
      <c r="H14" s="72">
        <f t="shared" si="3"/>
        <v>868.18359800000007</v>
      </c>
      <c r="I14" s="72">
        <f t="shared" si="3"/>
        <v>1181.6458440000001</v>
      </c>
      <c r="J14" s="72">
        <f t="shared" si="3"/>
        <v>1285.8032250000001</v>
      </c>
      <c r="K14" s="72">
        <f t="shared" ref="K14:Q14" si="4">K11*K13</f>
        <v>1558.2191625</v>
      </c>
      <c r="L14" s="72">
        <f t="shared" si="4"/>
        <v>1808.6674788000003</v>
      </c>
      <c r="M14" s="72">
        <f t="shared" si="4"/>
        <v>2043.4712747085</v>
      </c>
      <c r="N14" s="72">
        <f t="shared" si="4"/>
        <v>2266.46059626441</v>
      </c>
      <c r="O14" s="72">
        <f>O11*O13</f>
        <v>2466.925128313314</v>
      </c>
      <c r="P14" s="72">
        <f t="shared" si="4"/>
        <v>2609.0869153686576</v>
      </c>
      <c r="Q14" s="72">
        <f t="shared" si="4"/>
        <v>2661.2686536760311</v>
      </c>
    </row>
    <row r="15" spans="1:28" x14ac:dyDescent="0.35">
      <c r="A15" s="100">
        <v>0.15</v>
      </c>
      <c r="B15" s="4" t="s">
        <v>39</v>
      </c>
      <c r="C15" s="82">
        <v>161.13957300000001</v>
      </c>
      <c r="D15" s="82">
        <v>133.97638999999998</v>
      </c>
      <c r="E15" s="82">
        <v>145.39166</v>
      </c>
      <c r="F15" s="82">
        <v>397.40992499999999</v>
      </c>
      <c r="G15" s="72">
        <v>523.665256</v>
      </c>
      <c r="H15" s="72">
        <v>725.27792199999999</v>
      </c>
      <c r="I15" s="72">
        <v>991.42182000000003</v>
      </c>
      <c r="J15" s="72">
        <v>1246.0910349999999</v>
      </c>
      <c r="K15" s="72">
        <f t="shared" ref="K15:Q15" si="5">K14*(1-$A$15)</f>
        <v>1324.4862881250001</v>
      </c>
      <c r="L15" s="72">
        <f t="shared" si="5"/>
        <v>1537.3673569800001</v>
      </c>
      <c r="M15" s="72">
        <f t="shared" si="5"/>
        <v>1736.9505835022251</v>
      </c>
      <c r="N15" s="72">
        <f t="shared" si="5"/>
        <v>1926.4915068247485</v>
      </c>
      <c r="O15" s="72">
        <f>O14*(1-$A$15)</f>
        <v>2096.8863590663168</v>
      </c>
      <c r="P15" s="72">
        <f t="shared" si="5"/>
        <v>2217.7238780633588</v>
      </c>
      <c r="Q15" s="72">
        <f t="shared" si="5"/>
        <v>2262.0783556246265</v>
      </c>
    </row>
    <row r="16" spans="1:28" ht="31.5" hidden="1" thickBot="1" x14ac:dyDescent="0.4">
      <c r="A16" s="13" t="s">
        <v>6</v>
      </c>
      <c r="B16" s="14"/>
      <c r="C16" s="15">
        <f t="shared" ref="C16:J16" si="6">C15/C14</f>
        <v>1.5299347954949616</v>
      </c>
      <c r="D16" s="15">
        <f t="shared" si="6"/>
        <v>0.71873701703365178</v>
      </c>
      <c r="E16" s="15">
        <f t="shared" si="6"/>
        <v>0.6587351283656856</v>
      </c>
      <c r="F16" s="15">
        <f t="shared" si="6"/>
        <v>0.87796086508753857</v>
      </c>
      <c r="G16" s="15">
        <f t="shared" si="6"/>
        <v>0.8133611691022965</v>
      </c>
      <c r="H16" s="15">
        <f t="shared" si="6"/>
        <v>0.8353969410050982</v>
      </c>
      <c r="I16" s="15">
        <f t="shared" si="6"/>
        <v>0.83901773533424273</v>
      </c>
      <c r="J16" s="15">
        <f t="shared" si="6"/>
        <v>0.96911487758945369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3.6264906925207754</v>
      </c>
      <c r="H17" s="72">
        <f>H15/H18</f>
        <v>5.0227002908587259</v>
      </c>
      <c r="I17" s="72">
        <f t="shared" ref="I17:O17" si="7">I15/I18</f>
        <v>6.8658020775623267</v>
      </c>
      <c r="J17" s="72">
        <f>J15/J18</f>
        <v>8.6294393005540151</v>
      </c>
      <c r="K17" s="72">
        <f t="shared" si="7"/>
        <v>9.1723427155470922</v>
      </c>
      <c r="L17" s="72">
        <f t="shared" si="7"/>
        <v>10.646588344736843</v>
      </c>
      <c r="M17" s="72">
        <f t="shared" si="7"/>
        <v>12.0287436530625</v>
      </c>
      <c r="N17" s="72">
        <f t="shared" si="7"/>
        <v>13.341353925379144</v>
      </c>
      <c r="O17" s="72">
        <f t="shared" si="7"/>
        <v>14.521373677744576</v>
      </c>
      <c r="P17" s="72">
        <f>P15/P18</f>
        <v>15.358198601546805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144.4</v>
      </c>
      <c r="H18" s="72">
        <f>G18*1</f>
        <v>144.4</v>
      </c>
      <c r="I18" s="72">
        <f t="shared" ref="I18:P18" si="8">H18*1</f>
        <v>144.4</v>
      </c>
      <c r="J18" s="72">
        <f t="shared" si="8"/>
        <v>144.4</v>
      </c>
      <c r="K18" s="72">
        <f t="shared" si="8"/>
        <v>144.4</v>
      </c>
      <c r="L18" s="72">
        <f t="shared" si="8"/>
        <v>144.4</v>
      </c>
      <c r="M18" s="72">
        <f t="shared" si="8"/>
        <v>144.4</v>
      </c>
      <c r="N18" s="72">
        <f t="shared" si="8"/>
        <v>144.4</v>
      </c>
      <c r="O18" s="72">
        <f t="shared" si="8"/>
        <v>144.4</v>
      </c>
      <c r="P18" s="72">
        <f t="shared" si="8"/>
        <v>144.4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476.38413099840795</v>
      </c>
      <c r="H19" s="53">
        <f>H15/(1+$C$55)^2</f>
        <v>600.2214460838635</v>
      </c>
      <c r="I19" s="53">
        <f>I15/(1+$C$55)^3</f>
        <v>746.39556479584905</v>
      </c>
      <c r="J19" s="53">
        <f>J15/(1+$C$55)^4</f>
        <v>853.4220789445427</v>
      </c>
      <c r="K19" s="53">
        <f>K15/(1+$C$55)^5</f>
        <v>825.21116468165951</v>
      </c>
      <c r="L19" s="53">
        <f>L15/(1+$C$55)^6</f>
        <v>871.36238763251197</v>
      </c>
      <c r="M19" s="53">
        <f>M15/(1+$C$55)^7</f>
        <v>895.59599508608198</v>
      </c>
      <c r="N19" s="53">
        <f>N15/(1+$C$55)^8</f>
        <v>903.63970345557925</v>
      </c>
      <c r="O19" s="53">
        <f>O15/(1+$C$55)^9</f>
        <v>894.76013393380617</v>
      </c>
      <c r="P19" s="53">
        <f>P15/(1+$C$55)^10</f>
        <v>860.88022045029936</v>
      </c>
      <c r="Q19" s="54">
        <f>(Q15/(C55-Q12))/(1+C55)^10</f>
        <v>11080.098736395024</v>
      </c>
    </row>
    <row r="20" spans="1:18" x14ac:dyDescent="0.3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0">
        <f>(I27-I23)*I29</f>
        <v>6.1750000000000013E-2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79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79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79">
        <v>1.9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79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1">
        <f>I23+(I27-I23)*I29</f>
        <v>9.9250000000000005E-2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6" t="s">
        <v>34</v>
      </c>
      <c r="H33" s="22"/>
      <c r="I33" s="77">
        <f>I31</f>
        <v>9.9250000000000005E-2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45171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18588.612000000001</v>
      </c>
      <c r="D49" s="47">
        <f>SUM(G19:Q19)</f>
        <v>19007.971562457624</v>
      </c>
      <c r="E49" s="46" t="s">
        <v>41</v>
      </c>
    </row>
    <row r="50" spans="1:17" x14ac:dyDescent="0.35">
      <c r="A50" s="45"/>
      <c r="B50" s="46" t="s">
        <v>11</v>
      </c>
      <c r="C50" s="56">
        <v>144.4</v>
      </c>
      <c r="D50" s="56">
        <f>C50</f>
        <v>144.4</v>
      </c>
      <c r="E50" s="46"/>
    </row>
    <row r="51" spans="1:17" x14ac:dyDescent="0.35">
      <c r="A51" s="45"/>
      <c r="B51" s="46" t="s">
        <v>13</v>
      </c>
      <c r="C51" s="87">
        <v>128.72999999999999</v>
      </c>
      <c r="D51" s="56">
        <f>D49/(D50)</f>
        <v>131.63415209458188</v>
      </c>
      <c r="E51" s="46" t="s">
        <v>41</v>
      </c>
    </row>
    <row r="52" spans="1:17" x14ac:dyDescent="0.35">
      <c r="A52" s="45"/>
      <c r="B52" s="46" t="s">
        <v>2</v>
      </c>
      <c r="C52" s="46"/>
      <c r="D52" s="57">
        <f>IF(C51/D51-1&gt;0,0,C51/D51-1)*-1</f>
        <v>2.2062299550463127E-2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3">
        <v>0.108</v>
      </c>
      <c r="C57" s="50"/>
      <c r="D57" s="74">
        <f>SUM(H57:Q57)*1000</f>
        <v>15989342.567987725</v>
      </c>
      <c r="E57" s="46"/>
      <c r="F57" s="1" t="s">
        <v>23</v>
      </c>
      <c r="H57" s="1">
        <f>G15/(1+$B$57)</f>
        <v>472.62207220216601</v>
      </c>
      <c r="I57" s="1">
        <f>H15/(1+$B$57)^2</f>
        <v>590.77884665511067</v>
      </c>
      <c r="J57" s="1">
        <f>I15/(1+$B$57)^3</f>
        <v>728.85173475892657</v>
      </c>
      <c r="K57" s="1">
        <f>J15/(1+$B$57)^4</f>
        <v>826.78146117594429</v>
      </c>
      <c r="L57" s="1">
        <f>K15/(1+$B$57)^5</f>
        <v>793.13782975160018</v>
      </c>
      <c r="M57" s="1">
        <f>L15/(1+$B$57)^6</f>
        <v>830.88150724224067</v>
      </c>
      <c r="N57" s="1">
        <f>M15/(1+$B$57)^7</f>
        <v>847.24524502347481</v>
      </c>
      <c r="O57" s="1">
        <f>N15/(1+$B$57)^8</f>
        <v>848.10381262879309</v>
      </c>
      <c r="P57" s="1">
        <f>O15/(1+$B$57)^9</f>
        <v>833.13820632478053</v>
      </c>
      <c r="Q57" s="1">
        <f>(Q15/(B57-Q12))/(1+B57)^10</f>
        <v>9217.8018522246875</v>
      </c>
    </row>
    <row r="58" spans="1:17" ht="16" thickBot="1" x14ac:dyDescent="0.4">
      <c r="A58" s="22"/>
      <c r="C58" s="65"/>
      <c r="D58" s="66"/>
    </row>
    <row r="59" spans="1:17" x14ac:dyDescent="0.35">
      <c r="A59" s="59" t="s">
        <v>43</v>
      </c>
      <c r="B59" s="23"/>
      <c r="C59" s="67">
        <v>25</v>
      </c>
      <c r="D59" s="23"/>
      <c r="E59" s="24"/>
    </row>
    <row r="60" spans="1:17" x14ac:dyDescent="0.35">
      <c r="A60" s="25" t="s">
        <v>21</v>
      </c>
      <c r="C60" s="68" t="s">
        <v>40</v>
      </c>
      <c r="E60" s="26"/>
    </row>
    <row r="61" spans="1:17" x14ac:dyDescent="0.35">
      <c r="A61" s="25"/>
      <c r="C61" s="68"/>
      <c r="E61" s="26"/>
    </row>
    <row r="62" spans="1:17" x14ac:dyDescent="0.35">
      <c r="A62" s="25" t="s">
        <v>37</v>
      </c>
      <c r="C62" s="68"/>
      <c r="E62" s="60">
        <f>P17*C59</f>
        <v>383.95496503867014</v>
      </c>
    </row>
    <row r="63" spans="1:17" x14ac:dyDescent="0.35">
      <c r="A63" s="25"/>
      <c r="C63" s="68"/>
      <c r="E63" s="26"/>
    </row>
    <row r="64" spans="1:17" x14ac:dyDescent="0.35">
      <c r="A64" s="25" t="s">
        <v>17</v>
      </c>
      <c r="C64" s="69">
        <v>0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0</v>
      </c>
    </row>
    <row r="67" spans="1:5" x14ac:dyDescent="0.35">
      <c r="A67" s="25"/>
      <c r="E67" s="61"/>
    </row>
    <row r="68" spans="1:5" x14ac:dyDescent="0.35">
      <c r="A68" s="103" t="s">
        <v>44</v>
      </c>
      <c r="E68" s="104">
        <f>(E66*0.25)*-1</f>
        <v>0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45</v>
      </c>
      <c r="E70" s="60">
        <f>SUM(E62:E68)</f>
        <v>383.95496503867014</v>
      </c>
    </row>
    <row r="71" spans="1:5" x14ac:dyDescent="0.35">
      <c r="A71" s="25"/>
      <c r="E71" s="60"/>
    </row>
    <row r="72" spans="1:5" x14ac:dyDescent="0.35">
      <c r="A72" s="25" t="s">
        <v>46</v>
      </c>
      <c r="E72" s="62">
        <f>E70/C51-1</f>
        <v>1.9826378081152036</v>
      </c>
    </row>
    <row r="73" spans="1:5" x14ac:dyDescent="0.35">
      <c r="A73" s="25"/>
      <c r="E73" s="26"/>
    </row>
    <row r="74" spans="1:5" ht="16" thickBot="1" x14ac:dyDescent="0.4">
      <c r="A74" s="63" t="s">
        <v>47</v>
      </c>
      <c r="B74" s="64"/>
      <c r="C74" s="64"/>
      <c r="D74" s="64"/>
      <c r="E74" s="102">
        <f>(E70/C51)^(1/10)-1</f>
        <v>0.11547554076534938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7" priority="5" percent="1" rank="10"/>
  </conditionalFormatting>
  <conditionalFormatting sqref="L2:L5">
    <cfRule type="top10" dxfId="6" priority="3" percent="1" rank="10"/>
  </conditionalFormatting>
  <conditionalFormatting sqref="L6:L8">
    <cfRule type="top10" dxfId="5" priority="6" percent="1" rank="10"/>
  </conditionalFormatting>
  <conditionalFormatting sqref="L9">
    <cfRule type="top10" dxfId="4" priority="4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opLeftCell="A49" zoomScaleNormal="100" workbookViewId="0">
      <selection activeCell="C51" sqref="C51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48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42</v>
      </c>
    </row>
    <row r="11" spans="1:28" x14ac:dyDescent="0.35">
      <c r="A11" s="5"/>
      <c r="B11" s="4" t="s">
        <v>4</v>
      </c>
      <c r="C11" s="82">
        <v>624.33000000000004</v>
      </c>
      <c r="D11" s="82">
        <v>774.43</v>
      </c>
      <c r="E11" s="82">
        <v>1382.05</v>
      </c>
      <c r="F11" s="82">
        <v>2330.85</v>
      </c>
      <c r="G11" s="72">
        <f>F11*(1+G12)</f>
        <v>2680.4774999999995</v>
      </c>
      <c r="H11" s="72">
        <f t="shared" ref="H11:J11" si="0">G11*(1+H12)</f>
        <v>3082.5491249999991</v>
      </c>
      <c r="I11" s="72">
        <f t="shared" si="0"/>
        <v>3544.9314937499985</v>
      </c>
      <c r="J11" s="72">
        <f t="shared" si="0"/>
        <v>4076.6712178124981</v>
      </c>
      <c r="K11" s="72">
        <f>J11*(1+K12)</f>
        <v>4688.1719004843726</v>
      </c>
      <c r="L11" s="72">
        <f t="shared" ref="L11:Q11" si="1">K11*(1+L12)</f>
        <v>5391.3976855570281</v>
      </c>
      <c r="M11" s="72">
        <f t="shared" si="1"/>
        <v>6200.1073383905823</v>
      </c>
      <c r="N11" s="72">
        <f t="shared" si="1"/>
        <v>7130.1234391491689</v>
      </c>
      <c r="O11" s="72">
        <f t="shared" si="1"/>
        <v>8199.6419550215433</v>
      </c>
      <c r="P11" s="72">
        <f t="shared" si="1"/>
        <v>8691.6204723228366</v>
      </c>
      <c r="Q11" s="72">
        <f t="shared" si="1"/>
        <v>8865.4528817692935</v>
      </c>
    </row>
    <row r="12" spans="1:28" x14ac:dyDescent="0.35">
      <c r="A12" s="5"/>
      <c r="B12" s="4" t="s">
        <v>1</v>
      </c>
      <c r="C12" s="86"/>
      <c r="D12" s="89">
        <f>D11/C11-1</f>
        <v>0.24041772780420589</v>
      </c>
      <c r="E12" s="89">
        <f>E11/D11-1</f>
        <v>0.78460286920702971</v>
      </c>
      <c r="F12" s="89">
        <f>F11/E11-1</f>
        <v>0.68651640678701931</v>
      </c>
      <c r="G12" s="85">
        <v>0.15</v>
      </c>
      <c r="H12" s="85">
        <f t="shared" ref="H12:O12" si="2">G12</f>
        <v>0.15</v>
      </c>
      <c r="I12" s="85">
        <f t="shared" si="2"/>
        <v>0.15</v>
      </c>
      <c r="J12" s="85">
        <f t="shared" si="2"/>
        <v>0.15</v>
      </c>
      <c r="K12" s="85">
        <f t="shared" si="2"/>
        <v>0.15</v>
      </c>
      <c r="L12" s="85">
        <f t="shared" si="2"/>
        <v>0.15</v>
      </c>
      <c r="M12" s="85">
        <f t="shared" si="2"/>
        <v>0.15</v>
      </c>
      <c r="N12" s="85">
        <f t="shared" si="2"/>
        <v>0.15</v>
      </c>
      <c r="O12" s="85">
        <f t="shared" si="2"/>
        <v>0.15</v>
      </c>
      <c r="P12" s="85">
        <v>0.06</v>
      </c>
      <c r="Q12" s="85">
        <v>0.02</v>
      </c>
    </row>
    <row r="13" spans="1:28" ht="16" customHeight="1" x14ac:dyDescent="0.35">
      <c r="A13" s="5"/>
      <c r="B13" s="4" t="s">
        <v>15</v>
      </c>
      <c r="C13" s="88">
        <v>0.16869999999999999</v>
      </c>
      <c r="D13" s="88">
        <v>0.2407</v>
      </c>
      <c r="E13" s="88">
        <v>0.15970000000000001</v>
      </c>
      <c r="F13" s="88">
        <v>0.19420000000000001</v>
      </c>
      <c r="G13" s="84">
        <v>0.23949999999999999</v>
      </c>
      <c r="H13" s="84">
        <v>0.27460000000000001</v>
      </c>
      <c r="I13" s="84">
        <v>0.29320000000000002</v>
      </c>
      <c r="J13" s="84">
        <v>0.26550000000000001</v>
      </c>
      <c r="K13" s="84">
        <v>0.27500000000000002</v>
      </c>
      <c r="L13" s="84">
        <v>0.28000000000000003</v>
      </c>
      <c r="M13" s="84">
        <v>0.28499999999999998</v>
      </c>
      <c r="N13" s="84">
        <v>0.28999999999999998</v>
      </c>
      <c r="O13" s="84">
        <v>0.29499999999999998</v>
      </c>
      <c r="P13" s="84">
        <v>0.3</v>
      </c>
      <c r="Q13" s="84">
        <v>0.3</v>
      </c>
    </row>
    <row r="14" spans="1:28" ht="17.149999999999999" customHeight="1" x14ac:dyDescent="0.35">
      <c r="A14" s="5"/>
      <c r="B14" s="4" t="s">
        <v>16</v>
      </c>
      <c r="C14" s="82">
        <f t="shared" ref="C14:J14" si="3">C11*C13</f>
        <v>105.324471</v>
      </c>
      <c r="D14" s="82">
        <f t="shared" si="3"/>
        <v>186.40530099999998</v>
      </c>
      <c r="E14" s="82">
        <f t="shared" si="3"/>
        <v>220.71338500000002</v>
      </c>
      <c r="F14" s="82">
        <f t="shared" si="3"/>
        <v>452.65107</v>
      </c>
      <c r="G14" s="72">
        <f t="shared" si="3"/>
        <v>641.9743612499999</v>
      </c>
      <c r="H14" s="72">
        <f t="shared" si="3"/>
        <v>846.46798972499982</v>
      </c>
      <c r="I14" s="72">
        <f t="shared" si="3"/>
        <v>1039.3739139674997</v>
      </c>
      <c r="J14" s="72">
        <f t="shared" si="3"/>
        <v>1082.3562083292184</v>
      </c>
      <c r="K14" s="72">
        <f t="shared" ref="K14:Q14" si="4">K11*K13</f>
        <v>1289.2472726332026</v>
      </c>
      <c r="L14" s="72">
        <f t="shared" si="4"/>
        <v>1509.5913519559681</v>
      </c>
      <c r="M14" s="72">
        <f t="shared" si="4"/>
        <v>1767.0305914413159</v>
      </c>
      <c r="N14" s="72">
        <f t="shared" si="4"/>
        <v>2067.7357973532589</v>
      </c>
      <c r="O14" s="72">
        <f>O11*O13</f>
        <v>2418.8943767313554</v>
      </c>
      <c r="P14" s="72">
        <f t="shared" si="4"/>
        <v>2607.4861416968511</v>
      </c>
      <c r="Q14" s="72">
        <f t="shared" si="4"/>
        <v>2659.6358645307878</v>
      </c>
    </row>
    <row r="15" spans="1:28" x14ac:dyDescent="0.35">
      <c r="A15" s="100">
        <v>0.15</v>
      </c>
      <c r="B15" s="4" t="s">
        <v>39</v>
      </c>
      <c r="C15" s="82">
        <v>161.13957300000001</v>
      </c>
      <c r="D15" s="82">
        <v>133.97638999999998</v>
      </c>
      <c r="E15" s="82">
        <v>145.39166</v>
      </c>
      <c r="F15" s="82">
        <v>397.40992499999999</v>
      </c>
      <c r="G15" s="72">
        <v>523.665256</v>
      </c>
      <c r="H15" s="72">
        <v>725.27792199999999</v>
      </c>
      <c r="I15" s="72">
        <v>991.42182000000003</v>
      </c>
      <c r="J15" s="72">
        <v>1246.0910349999999</v>
      </c>
      <c r="K15" s="72">
        <f>K14*(1-$A$15)</f>
        <v>1095.8601817382221</v>
      </c>
      <c r="L15" s="72">
        <f t="shared" ref="L15:Q15" si="5">L14*(1-$A$15)</f>
        <v>1283.1526491625727</v>
      </c>
      <c r="M15" s="72">
        <f t="shared" si="5"/>
        <v>1501.9760027251184</v>
      </c>
      <c r="N15" s="72">
        <f t="shared" si="5"/>
        <v>1757.5754277502701</v>
      </c>
      <c r="O15" s="72">
        <f>O14*(1-$A$15)</f>
        <v>2056.0602202216519</v>
      </c>
      <c r="P15" s="72">
        <f t="shared" si="5"/>
        <v>2216.3632204423234</v>
      </c>
      <c r="Q15" s="72">
        <f t="shared" si="5"/>
        <v>2260.6904848511695</v>
      </c>
    </row>
    <row r="16" spans="1:28" ht="31.5" hidden="1" thickBot="1" x14ac:dyDescent="0.4">
      <c r="A16" s="13" t="s">
        <v>6</v>
      </c>
      <c r="B16" s="14"/>
      <c r="C16" s="15">
        <f t="shared" ref="C16:J16" si="6">C15/C14</f>
        <v>1.5299347954949616</v>
      </c>
      <c r="D16" s="15">
        <f t="shared" si="6"/>
        <v>0.71873701703365178</v>
      </c>
      <c r="E16" s="15">
        <f t="shared" si="6"/>
        <v>0.6587351283656856</v>
      </c>
      <c r="F16" s="15">
        <f t="shared" si="6"/>
        <v>0.87796086508753857</v>
      </c>
      <c r="G16" s="15">
        <f t="shared" si="6"/>
        <v>0.81571054485783812</v>
      </c>
      <c r="H16" s="15">
        <f t="shared" si="6"/>
        <v>0.85682852843097823</v>
      </c>
      <c r="I16" s="15">
        <f t="shared" si="6"/>
        <v>0.95386444346630095</v>
      </c>
      <c r="J16" s="15">
        <f t="shared" si="6"/>
        <v>1.151276285395481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3.6264906925207754</v>
      </c>
      <c r="H17" s="72">
        <f t="shared" ref="H17:O17" si="7">H15/H18</f>
        <v>5.0227002908587259</v>
      </c>
      <c r="I17" s="72">
        <f t="shared" si="7"/>
        <v>6.8658020775623267</v>
      </c>
      <c r="J17" s="72">
        <f t="shared" si="7"/>
        <v>8.6294393005540151</v>
      </c>
      <c r="K17" s="72">
        <f t="shared" si="7"/>
        <v>7.5890594303200976</v>
      </c>
      <c r="L17" s="72">
        <f t="shared" si="7"/>
        <v>8.8860986784111677</v>
      </c>
      <c r="M17" s="72">
        <f t="shared" si="7"/>
        <v>10.401495863747357</v>
      </c>
      <c r="N17" s="72">
        <f t="shared" si="7"/>
        <v>12.171574984420152</v>
      </c>
      <c r="O17" s="72">
        <f t="shared" si="7"/>
        <v>14.238644184360469</v>
      </c>
      <c r="P17" s="72">
        <f>P15/P18</f>
        <v>15.348775764836034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144.4</v>
      </c>
      <c r="H18" s="72">
        <f>G18*1</f>
        <v>144.4</v>
      </c>
      <c r="I18" s="72">
        <f t="shared" ref="I18:P18" si="8">H18*1</f>
        <v>144.4</v>
      </c>
      <c r="J18" s="72">
        <f t="shared" si="8"/>
        <v>144.4</v>
      </c>
      <c r="K18" s="72">
        <f t="shared" si="8"/>
        <v>144.4</v>
      </c>
      <c r="L18" s="72">
        <f t="shared" si="8"/>
        <v>144.4</v>
      </c>
      <c r="M18" s="72">
        <f t="shared" si="8"/>
        <v>144.4</v>
      </c>
      <c r="N18" s="72">
        <f t="shared" si="8"/>
        <v>144.4</v>
      </c>
      <c r="O18" s="72">
        <f t="shared" si="8"/>
        <v>144.4</v>
      </c>
      <c r="P18" s="72">
        <f t="shared" si="8"/>
        <v>144.4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476.38413099840795</v>
      </c>
      <c r="H19" s="53">
        <f>H15/(1+$C$55)^2</f>
        <v>600.2214460838635</v>
      </c>
      <c r="I19" s="53">
        <f>I15/(1+$C$55)^3</f>
        <v>746.39556479584905</v>
      </c>
      <c r="J19" s="53">
        <f>J15/(1+$C$55)^4</f>
        <v>853.4220789445427</v>
      </c>
      <c r="K19" s="53">
        <f>K15/(1+$C$55)^5</f>
        <v>682.76739820435751</v>
      </c>
      <c r="L19" s="53">
        <f>L15/(1+$C$55)^6</f>
        <v>727.27637346720883</v>
      </c>
      <c r="M19" s="53">
        <f>M15/(1+$C$55)^7</f>
        <v>774.43981742057144</v>
      </c>
      <c r="N19" s="53">
        <f>N15/(1+$C$55)^8</f>
        <v>824.40796271703766</v>
      </c>
      <c r="O19" s="53">
        <f>O15/(1+$C$55)^9</f>
        <v>877.33925592450953</v>
      </c>
      <c r="P19" s="53">
        <f>P15/(1+$C$55)^10</f>
        <v>860.35203781929613</v>
      </c>
      <c r="Q19" s="54">
        <f>(Q15/(C55-Q12))/(1+C55)^10</f>
        <v>11073.300676033839</v>
      </c>
    </row>
    <row r="20" spans="1:18" x14ac:dyDescent="0.3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0">
        <f>(I27-I23)*I29</f>
        <v>6.1750000000000013E-2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79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79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79">
        <v>1.9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79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1">
        <f>I23+(I27-I23)*I29</f>
        <v>9.9250000000000005E-2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6" t="s">
        <v>34</v>
      </c>
      <c r="H33" s="22"/>
      <c r="I33" s="77">
        <f>I31</f>
        <v>9.9250000000000005E-2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45171</v>
      </c>
      <c r="D48" s="18" t="s">
        <v>3</v>
      </c>
      <c r="E48" s="19"/>
      <c r="F48" s="20"/>
      <c r="G48" s="21"/>
      <c r="H48" s="21"/>
      <c r="I48" s="21"/>
    </row>
    <row r="49" spans="1:20" x14ac:dyDescent="0.35">
      <c r="A49" s="45" t="s">
        <v>0</v>
      </c>
      <c r="B49" s="46" t="s">
        <v>5</v>
      </c>
      <c r="C49" s="56">
        <f>C50*C51</f>
        <v>18588.612000000001</v>
      </c>
      <c r="D49" s="47">
        <f>SUM(G19:Q19)</f>
        <v>18496.306742409484</v>
      </c>
      <c r="E49" s="46" t="s">
        <v>41</v>
      </c>
    </row>
    <row r="50" spans="1:20" x14ac:dyDescent="0.35">
      <c r="A50" s="45"/>
      <c r="B50" s="46" t="s">
        <v>11</v>
      </c>
      <c r="C50" s="56">
        <v>144.4</v>
      </c>
      <c r="D50" s="56">
        <f>C50</f>
        <v>144.4</v>
      </c>
      <c r="E50" s="46"/>
    </row>
    <row r="51" spans="1:20" x14ac:dyDescent="0.35">
      <c r="A51" s="45"/>
      <c r="B51" s="46" t="s">
        <v>13</v>
      </c>
      <c r="C51" s="87">
        <v>128.72999999999999</v>
      </c>
      <c r="D51" s="87">
        <f>D49/(D50)</f>
        <v>128.0907669141931</v>
      </c>
      <c r="E51" s="46" t="s">
        <v>41</v>
      </c>
    </row>
    <row r="52" spans="1:20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20" x14ac:dyDescent="0.35">
      <c r="A53" s="45"/>
      <c r="B53" s="46" t="s">
        <v>14</v>
      </c>
      <c r="C53" s="46"/>
      <c r="D53" s="58">
        <f>IF(C51/D51-1&lt;0,0,C51/D51-1)</f>
        <v>4.9904696584033292E-3</v>
      </c>
      <c r="E53" s="46"/>
    </row>
    <row r="54" spans="1:20" x14ac:dyDescent="0.35">
      <c r="A54" s="46"/>
      <c r="B54" s="46"/>
      <c r="C54" s="46"/>
      <c r="D54" s="48"/>
      <c r="E54" s="48"/>
    </row>
    <row r="55" spans="1:20" x14ac:dyDescent="0.3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20" x14ac:dyDescent="0.35">
      <c r="A56" s="48"/>
      <c r="B56" s="46"/>
      <c r="C56" s="50"/>
      <c r="D56" s="49"/>
      <c r="E56" s="46"/>
    </row>
    <row r="57" spans="1:20" hidden="1" x14ac:dyDescent="0.35">
      <c r="A57" s="48" t="s">
        <v>22</v>
      </c>
      <c r="B57" s="73">
        <v>0.108</v>
      </c>
      <c r="C57" s="50"/>
      <c r="D57" s="74">
        <f>SUM(H57:Q57)*1000</f>
        <v>15504188.743571477</v>
      </c>
      <c r="E57" s="46"/>
      <c r="F57" s="1" t="s">
        <v>23</v>
      </c>
      <c r="H57" s="1">
        <f>G15/(1+$B$57)</f>
        <v>472.62207220216601</v>
      </c>
      <c r="I57" s="1">
        <f>H15/(1+$B$57)^2</f>
        <v>590.77884665511067</v>
      </c>
      <c r="J57" s="1">
        <f>I15/(1+$B$57)^3</f>
        <v>728.85173475892657</v>
      </c>
      <c r="K57" s="1">
        <f>J15/(1+$B$57)^4</f>
        <v>826.78146117594429</v>
      </c>
      <c r="L57" s="1">
        <f>K15/(1+$B$57)^5</f>
        <v>656.23039970121511</v>
      </c>
      <c r="M57" s="1">
        <f>L15/(1+$B$57)^6</f>
        <v>693.48929669770666</v>
      </c>
      <c r="N57" s="1">
        <f>M15/(1+$B$57)^7</f>
        <v>732.62995420536788</v>
      </c>
      <c r="O57" s="1">
        <f>N15/(1+$B$57)^8</f>
        <v>773.74149638194342</v>
      </c>
      <c r="P57" s="1">
        <f>O15/(1+$B$57)^9</f>
        <v>816.9171002351992</v>
      </c>
      <c r="Q57" s="1">
        <f>(Q15/(B57-Q12))/(1+B57)^10</f>
        <v>9212.1463815578954</v>
      </c>
    </row>
    <row r="58" spans="1:20" ht="16" thickBot="1" x14ac:dyDescent="0.4">
      <c r="A58" s="22"/>
      <c r="C58" s="65"/>
      <c r="D58" s="66"/>
    </row>
    <row r="59" spans="1:20" x14ac:dyDescent="0.35">
      <c r="A59" s="59" t="s">
        <v>43</v>
      </c>
      <c r="B59" s="23"/>
      <c r="C59" s="67">
        <v>22</v>
      </c>
      <c r="D59" s="23"/>
      <c r="E59" s="24"/>
    </row>
    <row r="60" spans="1:20" x14ac:dyDescent="0.35">
      <c r="A60" s="25" t="s">
        <v>21</v>
      </c>
      <c r="C60" s="68"/>
      <c r="D60" s="68"/>
      <c r="E60" s="26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x14ac:dyDescent="0.35">
      <c r="A61" s="25"/>
      <c r="C61" s="68"/>
      <c r="E61" s="26"/>
    </row>
    <row r="62" spans="1:20" x14ac:dyDescent="0.35">
      <c r="A62" s="25" t="s">
        <v>37</v>
      </c>
      <c r="C62" s="68"/>
      <c r="E62" s="60">
        <f>P17*C59</f>
        <v>337.67306682639276</v>
      </c>
    </row>
    <row r="63" spans="1:20" x14ac:dyDescent="0.35">
      <c r="A63" s="25"/>
      <c r="C63" s="68"/>
      <c r="E63" s="26"/>
    </row>
    <row r="64" spans="1:20" x14ac:dyDescent="0.35">
      <c r="A64" s="25" t="s">
        <v>17</v>
      </c>
      <c r="C64" s="69">
        <v>0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0</v>
      </c>
    </row>
    <row r="67" spans="1:5" x14ac:dyDescent="0.35">
      <c r="A67" s="25"/>
      <c r="E67" s="61"/>
    </row>
    <row r="68" spans="1:5" x14ac:dyDescent="0.35">
      <c r="A68" s="103" t="s">
        <v>44</v>
      </c>
      <c r="E68" s="104">
        <f>(E66*0.25)*-1</f>
        <v>0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45</v>
      </c>
      <c r="E70" s="60">
        <f>SUM(E62:E68)</f>
        <v>337.67306682639276</v>
      </c>
    </row>
    <row r="71" spans="1:5" x14ac:dyDescent="0.35">
      <c r="A71" s="25"/>
      <c r="E71" s="60"/>
    </row>
    <row r="72" spans="1:5" x14ac:dyDescent="0.35">
      <c r="A72" s="25" t="s">
        <v>46</v>
      </c>
      <c r="E72" s="62">
        <f>E70/C51-1</f>
        <v>1.623110905199975</v>
      </c>
    </row>
    <row r="73" spans="1:5" x14ac:dyDescent="0.35">
      <c r="A73" s="25"/>
      <c r="E73" s="26"/>
    </row>
    <row r="74" spans="1:5" ht="16" thickBot="1" x14ac:dyDescent="0.4">
      <c r="A74" s="63" t="s">
        <v>47</v>
      </c>
      <c r="B74" s="64"/>
      <c r="C74" s="64"/>
      <c r="D74" s="64"/>
      <c r="E74" s="102">
        <f>(E70/C51)^(1/10)-1</f>
        <v>0.1012392077063109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3" priority="5" percent="1" rank="10"/>
  </conditionalFormatting>
  <conditionalFormatting sqref="L2:L5">
    <cfRule type="top10" dxfId="2" priority="3" percent="1" rank="10"/>
  </conditionalFormatting>
  <conditionalFormatting sqref="L6:L8">
    <cfRule type="top10" dxfId="1" priority="6" percent="1" rank="10"/>
  </conditionalFormatting>
  <conditionalFormatting sqref="L9">
    <cfRule type="top10" dxfId="0" priority="4" percent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2023-09-02T12:40:36Z</dcterms:modified>
</cp:coreProperties>
</file>