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lmanreichel/Documents/Wir lieben Aktien/Haier/"/>
    </mc:Choice>
  </mc:AlternateContent>
  <xr:revisionPtr revIDLastSave="0" documentId="13_ncr:1_{56967DD9-ACBD-E144-B581-013991A2351E}" xr6:coauthVersionLast="47" xr6:coauthVersionMax="47" xr10:uidLastSave="{00000000-0000-0000-0000-000000000000}"/>
  <bookViews>
    <workbookView xWindow="0" yWindow="0" windowWidth="38400" windowHeight="21600" xr2:uid="{00000000-000D-0000-FFFF-FFFF00000000}"/>
  </bookViews>
  <sheets>
    <sheet name="Pessimistisch" sheetId="34" r:id="rId1"/>
    <sheet name="Optimistisch" sheetId="37" r:id="rId2"/>
    <sheet name="Wachstum für faire Bewertung" sheetId="3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8" i="35" l="1"/>
  <c r="D51" i="37"/>
  <c r="H13" i="35"/>
  <c r="I13" i="35"/>
  <c r="J13" i="35"/>
  <c r="K13" i="35"/>
  <c r="L13" i="35"/>
  <c r="M13" i="35"/>
  <c r="N13" i="35"/>
  <c r="O13" i="35"/>
  <c r="P13" i="35"/>
  <c r="Q13" i="35"/>
  <c r="G13" i="35"/>
  <c r="I18" i="35"/>
  <c r="J18" i="35" s="1"/>
  <c r="K18" i="35" s="1"/>
  <c r="L18" i="35" s="1"/>
  <c r="M18" i="35" s="1"/>
  <c r="N18" i="35" s="1"/>
  <c r="O18" i="35" s="1"/>
  <c r="P18" i="35" s="1"/>
  <c r="H18" i="35"/>
  <c r="G17" i="35" l="1"/>
  <c r="C52" i="34"/>
  <c r="C50" i="34"/>
  <c r="C49" i="34" s="1"/>
  <c r="E50" i="35" l="1"/>
  <c r="C55" i="35"/>
  <c r="C54" i="35"/>
  <c r="C53" i="35"/>
  <c r="C52" i="35"/>
  <c r="C51" i="35"/>
  <c r="C50" i="35"/>
  <c r="D50" i="35" s="1"/>
  <c r="B57" i="35"/>
  <c r="B56" i="35"/>
  <c r="B55" i="35"/>
  <c r="B54" i="35"/>
  <c r="B53" i="35"/>
  <c r="B52" i="35"/>
  <c r="B51" i="35"/>
  <c r="B50" i="35"/>
  <c r="B49" i="35"/>
  <c r="D50" i="37"/>
  <c r="E50" i="37"/>
  <c r="C55" i="37"/>
  <c r="C54" i="37"/>
  <c r="C53" i="37"/>
  <c r="C52" i="37"/>
  <c r="C51" i="37"/>
  <c r="C50" i="37"/>
  <c r="B57" i="37"/>
  <c r="B56" i="37"/>
  <c r="B55" i="37"/>
  <c r="B54" i="37"/>
  <c r="B53" i="37"/>
  <c r="B52" i="37"/>
  <c r="B51" i="37"/>
  <c r="B50" i="37"/>
  <c r="B49" i="37"/>
  <c r="C54" i="34"/>
  <c r="I31" i="34"/>
  <c r="C10" i="35"/>
  <c r="C10" i="37"/>
  <c r="B6" i="37"/>
  <c r="B6" i="35"/>
  <c r="B4" i="35"/>
  <c r="B4" i="37"/>
  <c r="C48" i="35"/>
  <c r="C48" i="37"/>
  <c r="F15" i="35"/>
  <c r="E15" i="35"/>
  <c r="D15" i="35"/>
  <c r="C15" i="35"/>
  <c r="D50" i="34" l="1"/>
  <c r="G18" i="34" s="1"/>
  <c r="D14" i="35"/>
  <c r="E14" i="35"/>
  <c r="F14" i="35"/>
  <c r="C14" i="35"/>
  <c r="D11" i="35"/>
  <c r="E11" i="35"/>
  <c r="F11" i="35"/>
  <c r="C11" i="35"/>
  <c r="H15" i="37"/>
  <c r="I61" i="37" s="1"/>
  <c r="I15" i="37"/>
  <c r="J61" i="37" s="1"/>
  <c r="G15" i="37"/>
  <c r="H61" i="37" s="1"/>
  <c r="D15" i="37"/>
  <c r="E15" i="37"/>
  <c r="F15" i="37"/>
  <c r="C15" i="37"/>
  <c r="H14" i="37"/>
  <c r="I14" i="37"/>
  <c r="G14" i="37"/>
  <c r="G13" i="37" s="1"/>
  <c r="D14" i="37"/>
  <c r="E14" i="37"/>
  <c r="F14" i="37"/>
  <c r="F13" i="37" s="1"/>
  <c r="C14" i="37"/>
  <c r="I11" i="37"/>
  <c r="J11" i="37" s="1"/>
  <c r="H11" i="37"/>
  <c r="G11" i="37"/>
  <c r="F11" i="37"/>
  <c r="G12" i="37" s="1"/>
  <c r="D11" i="37"/>
  <c r="E11" i="37"/>
  <c r="E12" i="37" s="1"/>
  <c r="C11" i="37"/>
  <c r="I31" i="37"/>
  <c r="I33" i="37" s="1"/>
  <c r="D46" i="37" s="1"/>
  <c r="C59" i="37" s="1"/>
  <c r="I25" i="37"/>
  <c r="G18" i="37"/>
  <c r="H18" i="37" s="1"/>
  <c r="I18" i="37" s="1"/>
  <c r="J18" i="37" s="1"/>
  <c r="K18" i="37" s="1"/>
  <c r="L18" i="37" s="1"/>
  <c r="M18" i="37" s="1"/>
  <c r="N18" i="37" s="1"/>
  <c r="O18" i="37" s="1"/>
  <c r="P18" i="37" s="1"/>
  <c r="H13" i="34"/>
  <c r="I13" i="34"/>
  <c r="G13" i="34"/>
  <c r="J11" i="34"/>
  <c r="G17" i="34" l="1"/>
  <c r="H18" i="34"/>
  <c r="I18" i="34" s="1"/>
  <c r="J18" i="34" s="1"/>
  <c r="K18" i="34" s="1"/>
  <c r="L18" i="34" s="1"/>
  <c r="M18" i="34" s="1"/>
  <c r="N18" i="34" s="1"/>
  <c r="O18" i="34" s="1"/>
  <c r="P18" i="34" s="1"/>
  <c r="C49" i="37"/>
  <c r="C49" i="35"/>
  <c r="G16" i="37"/>
  <c r="E16" i="37"/>
  <c r="D16" i="37"/>
  <c r="F16" i="37"/>
  <c r="H12" i="37"/>
  <c r="C16" i="37"/>
  <c r="H13" i="37"/>
  <c r="C13" i="37"/>
  <c r="F12" i="37"/>
  <c r="I13" i="37"/>
  <c r="D12" i="37"/>
  <c r="I12" i="37"/>
  <c r="H16" i="37"/>
  <c r="D13" i="37"/>
  <c r="E13" i="37"/>
  <c r="I16" i="37"/>
  <c r="G17" i="37"/>
  <c r="K11" i="37"/>
  <c r="K14" i="37" s="1"/>
  <c r="K15" i="37" s="1"/>
  <c r="J14" i="37"/>
  <c r="G19" i="37"/>
  <c r="I19" i="37"/>
  <c r="H19" i="37"/>
  <c r="H17" i="37"/>
  <c r="H12" i="35"/>
  <c r="I12" i="35" s="1"/>
  <c r="J12" i="35" s="1"/>
  <c r="K12" i="35" s="1"/>
  <c r="L12" i="35" s="1"/>
  <c r="M12" i="35" s="1"/>
  <c r="N12" i="35" s="1"/>
  <c r="O12" i="35" s="1"/>
  <c r="D13" i="35"/>
  <c r="E13" i="35"/>
  <c r="F13" i="35"/>
  <c r="C13" i="35"/>
  <c r="D10" i="34"/>
  <c r="D13" i="34"/>
  <c r="E13" i="34"/>
  <c r="F13" i="34"/>
  <c r="C13" i="34"/>
  <c r="G11" i="35"/>
  <c r="L11" i="37" l="1"/>
  <c r="E10" i="34"/>
  <c r="D10" i="35"/>
  <c r="D10" i="37"/>
  <c r="J15" i="37"/>
  <c r="K61" i="37" s="1"/>
  <c r="L14" i="37"/>
  <c r="L15" i="37" s="1"/>
  <c r="M11" i="37"/>
  <c r="I17" i="37"/>
  <c r="K19" i="37"/>
  <c r="L61" i="37"/>
  <c r="J19" i="37" l="1"/>
  <c r="J16" i="37"/>
  <c r="F10" i="34"/>
  <c r="E10" i="37"/>
  <c r="E10" i="35"/>
  <c r="J17" i="37"/>
  <c r="M14" i="37"/>
  <c r="M15" i="37" s="1"/>
  <c r="N11" i="37"/>
  <c r="L19" i="37"/>
  <c r="M61" i="37"/>
  <c r="H11" i="35"/>
  <c r="G10" i="34" l="1"/>
  <c r="F10" i="37"/>
  <c r="F10" i="35"/>
  <c r="M19" i="37"/>
  <c r="N61" i="37"/>
  <c r="N14" i="37"/>
  <c r="N15" i="37" s="1"/>
  <c r="O11" i="37"/>
  <c r="K17" i="37"/>
  <c r="H12" i="34"/>
  <c r="I12" i="34"/>
  <c r="H10" i="34" l="1"/>
  <c r="G10" i="35"/>
  <c r="G10" i="37"/>
  <c r="P11" i="37"/>
  <c r="O14" i="37"/>
  <c r="O15" i="37" s="1"/>
  <c r="O61" i="37"/>
  <c r="N19" i="37"/>
  <c r="L17" i="37"/>
  <c r="I11" i="35"/>
  <c r="I31" i="35"/>
  <c r="I33" i="35" s="1"/>
  <c r="D46" i="35" s="1"/>
  <c r="C59" i="35" s="1"/>
  <c r="I25" i="35"/>
  <c r="G18" i="35"/>
  <c r="F16" i="35"/>
  <c r="E16" i="35"/>
  <c r="D16" i="35"/>
  <c r="C16" i="35"/>
  <c r="F12" i="35"/>
  <c r="E12" i="35"/>
  <c r="D12" i="35"/>
  <c r="I10" i="34" l="1"/>
  <c r="H10" i="35"/>
  <c r="H10" i="37"/>
  <c r="O19" i="37"/>
  <c r="P61" i="37"/>
  <c r="Q11" i="37"/>
  <c r="Q14" i="37" s="1"/>
  <c r="Q15" i="37" s="1"/>
  <c r="P14" i="37"/>
  <c r="P15" i="37" s="1"/>
  <c r="D41" i="37" s="1"/>
  <c r="M17" i="37"/>
  <c r="J11" i="35"/>
  <c r="K11" i="35" s="1"/>
  <c r="L11" i="35" s="1"/>
  <c r="J10" i="34" l="1"/>
  <c r="I10" i="37"/>
  <c r="I10" i="35"/>
  <c r="D40" i="37"/>
  <c r="Q19" i="37"/>
  <c r="P19" i="37"/>
  <c r="D44" i="37"/>
  <c r="Q61" i="37"/>
  <c r="D61" i="37" s="1"/>
  <c r="D42" i="37"/>
  <c r="N17" i="37"/>
  <c r="D43" i="37"/>
  <c r="D49" i="37" l="1"/>
  <c r="K10" i="34"/>
  <c r="J10" i="35"/>
  <c r="J10" i="37"/>
  <c r="P17" i="37"/>
  <c r="E66" i="37" s="1"/>
  <c r="O17" i="37"/>
  <c r="D57" i="37" l="1"/>
  <c r="D56" i="37"/>
  <c r="E70" i="37"/>
  <c r="E72" i="37" s="1"/>
  <c r="L10" i="34"/>
  <c r="K10" i="35"/>
  <c r="K10" i="37"/>
  <c r="E74" i="37" l="1"/>
  <c r="M10" i="34"/>
  <c r="L10" i="35"/>
  <c r="L10" i="37"/>
  <c r="G12" i="34"/>
  <c r="E12" i="34"/>
  <c r="F12" i="34"/>
  <c r="D12" i="34"/>
  <c r="E78" i="37" l="1"/>
  <c r="E76" i="37"/>
  <c r="N10" i="34"/>
  <c r="M10" i="37"/>
  <c r="M10" i="35"/>
  <c r="C16" i="34"/>
  <c r="H16" i="34"/>
  <c r="G16" i="34"/>
  <c r="F16" i="34"/>
  <c r="E16" i="34"/>
  <c r="D16" i="34"/>
  <c r="O10" i="34" l="1"/>
  <c r="N10" i="35"/>
  <c r="N10" i="37"/>
  <c r="H17" i="34"/>
  <c r="P10" i="34" l="1"/>
  <c r="O10" i="35"/>
  <c r="O10" i="37"/>
  <c r="I33" i="34"/>
  <c r="D46" i="34" s="1"/>
  <c r="C59" i="34" s="1"/>
  <c r="G19" i="34" s="1"/>
  <c r="I25" i="34"/>
  <c r="P10" i="35" l="1"/>
  <c r="P10" i="37"/>
  <c r="A76" i="34"/>
  <c r="A76" i="35" s="1"/>
  <c r="A63" i="34"/>
  <c r="A63" i="35" s="1"/>
  <c r="Q10" i="34"/>
  <c r="A78" i="34"/>
  <c r="A78" i="35" s="1"/>
  <c r="A74" i="34"/>
  <c r="A74" i="35" s="1"/>
  <c r="H19" i="34"/>
  <c r="H61" i="34"/>
  <c r="I61" i="34"/>
  <c r="Q10" i="35" l="1"/>
  <c r="Q10" i="37"/>
  <c r="A78" i="37"/>
  <c r="A63" i="37"/>
  <c r="A74" i="37"/>
  <c r="A76" i="37"/>
  <c r="H14" i="35"/>
  <c r="G14" i="35"/>
  <c r="I14" i="35" l="1"/>
  <c r="I61" i="35" l="1"/>
  <c r="H19" i="35"/>
  <c r="H17" i="35"/>
  <c r="H16" i="35"/>
  <c r="H61" i="35"/>
  <c r="G19" i="35"/>
  <c r="G16" i="35"/>
  <c r="J14" i="35"/>
  <c r="J15" i="35" s="1"/>
  <c r="J61" i="35" l="1"/>
  <c r="I19" i="35"/>
  <c r="I17" i="35"/>
  <c r="I16" i="35"/>
  <c r="J16" i="35"/>
  <c r="K14" i="35"/>
  <c r="K15" i="35" s="1"/>
  <c r="K61" i="35" l="1"/>
  <c r="J19" i="35"/>
  <c r="J17" i="35"/>
  <c r="K17" i="35"/>
  <c r="K19" i="35"/>
  <c r="L61" i="35"/>
  <c r="M11" i="35"/>
  <c r="L14" i="35"/>
  <c r="L15" i="35" s="1"/>
  <c r="M61" i="35" l="1"/>
  <c r="L17" i="35"/>
  <c r="L19" i="35"/>
  <c r="M14" i="35"/>
  <c r="M15" i="35" s="1"/>
  <c r="N11" i="35"/>
  <c r="N14" i="35" l="1"/>
  <c r="N15" i="35" s="1"/>
  <c r="O11" i="35"/>
  <c r="M19" i="35"/>
  <c r="N61" i="35"/>
  <c r="M17" i="35"/>
  <c r="P11" i="35" l="1"/>
  <c r="O14" i="35"/>
  <c r="O15" i="35" s="1"/>
  <c r="N17" i="35"/>
  <c r="N19" i="35"/>
  <c r="O61" i="35"/>
  <c r="O17" i="35" l="1"/>
  <c r="O19" i="35"/>
  <c r="P61" i="35"/>
  <c r="Q11" i="35"/>
  <c r="Q14" i="35" s="1"/>
  <c r="Q15" i="35" s="1"/>
  <c r="P14" i="35"/>
  <c r="P15" i="35" s="1"/>
  <c r="P17" i="35" s="1"/>
  <c r="D42" i="35" l="1"/>
  <c r="D40" i="35"/>
  <c r="D41" i="35"/>
  <c r="P19" i="35"/>
  <c r="Q19" i="35"/>
  <c r="D49" i="35" s="1"/>
  <c r="Q61" i="35"/>
  <c r="D61" i="35" s="1"/>
  <c r="D43" i="35"/>
  <c r="D44" i="35"/>
  <c r="E66" i="35" l="1"/>
  <c r="E70" i="35"/>
  <c r="E72" i="35" s="1"/>
  <c r="D51" i="35" l="1"/>
  <c r="D57" i="35"/>
  <c r="D56" i="35"/>
  <c r="E74" i="35"/>
  <c r="E76" i="35" l="1"/>
  <c r="I19" i="34" l="1"/>
  <c r="I17" i="34"/>
  <c r="J61" i="34"/>
  <c r="I16" i="34"/>
  <c r="J14" i="34"/>
  <c r="J15" i="34" s="1"/>
  <c r="K11" i="34" l="1"/>
  <c r="J19" i="34" l="1"/>
  <c r="K61" i="34"/>
  <c r="J17" i="34"/>
  <c r="J16" i="34"/>
  <c r="L11" i="34"/>
  <c r="K14" i="34"/>
  <c r="K15" i="34" s="1"/>
  <c r="K17" i="34" l="1"/>
  <c r="L61" i="34"/>
  <c r="K19" i="34"/>
  <c r="M11" i="34"/>
  <c r="L14" i="34"/>
  <c r="L15" i="34" s="1"/>
  <c r="L19" i="34" l="1"/>
  <c r="L17" i="34"/>
  <c r="M61" i="34"/>
  <c r="M14" i="34"/>
  <c r="M15" i="34" s="1"/>
  <c r="N11" i="34"/>
  <c r="N14" i="34" l="1"/>
  <c r="N15" i="34" s="1"/>
  <c r="O11" i="34"/>
  <c r="M19" i="34"/>
  <c r="N61" i="34"/>
  <c r="M17" i="34"/>
  <c r="O14" i="34" l="1"/>
  <c r="O15" i="34" s="1"/>
  <c r="P11" i="34"/>
  <c r="O61" i="34"/>
  <c r="N17" i="34"/>
  <c r="N19" i="34"/>
  <c r="Q11" i="34" l="1"/>
  <c r="Q14" i="34" s="1"/>
  <c r="Q15" i="34" s="1"/>
  <c r="P14" i="34"/>
  <c r="P15" i="34" s="1"/>
  <c r="P61" i="34"/>
  <c r="O17" i="34"/>
  <c r="O19" i="34"/>
  <c r="D44" i="34" l="1"/>
  <c r="D41" i="34"/>
  <c r="D43" i="34"/>
  <c r="D42" i="34"/>
  <c r="P17" i="34"/>
  <c r="P19" i="34"/>
  <c r="D40" i="34"/>
  <c r="Q19" i="34"/>
  <c r="Q61" i="34"/>
  <c r="D61" i="34" s="1"/>
  <c r="E66" i="34" l="1"/>
  <c r="E70" i="34"/>
  <c r="E72" i="34" s="1"/>
  <c r="D49" i="34"/>
  <c r="D51" i="34" l="1"/>
  <c r="D56" i="34"/>
  <c r="D57" i="34"/>
  <c r="E74" i="34"/>
  <c r="E76" i="34" s="1"/>
  <c r="E78" i="34" l="1"/>
</calcChain>
</file>

<file path=xl/sharedStrings.xml><?xml version="1.0" encoding="utf-8"?>
<sst xmlns="http://schemas.openxmlformats.org/spreadsheetml/2006/main" count="129" uniqueCount="48">
  <si>
    <t>Bewertung</t>
  </si>
  <si>
    <t>Umsatz-Wachstum, %</t>
  </si>
  <si>
    <t>Unterbewertung</t>
  </si>
  <si>
    <t>Fairer Wert</t>
  </si>
  <si>
    <t>Umsatz</t>
  </si>
  <si>
    <t>Verhältnis EBIT zu Konzerngewinn:</t>
  </si>
  <si>
    <t>EK Quote:</t>
  </si>
  <si>
    <t>Vereinfachter WACC:</t>
  </si>
  <si>
    <t>Schätzungen »</t>
  </si>
  <si>
    <t>Discounted Net-Profit Modell</t>
  </si>
  <si>
    <t>Abgezinster Gewinn:</t>
  </si>
  <si>
    <t xml:space="preserve">Kurs pro Aktie </t>
  </si>
  <si>
    <t>Überbewertung</t>
  </si>
  <si>
    <t>EBIT Marge, %</t>
  </si>
  <si>
    <t>EBIT</t>
  </si>
  <si>
    <t xml:space="preserve">Ausschüttungsquote </t>
  </si>
  <si>
    <t xml:space="preserve">Ausgeschüttete Gewinne </t>
  </si>
  <si>
    <t>Eigenkapitalzins</t>
  </si>
  <si>
    <t>EK-Zins</t>
  </si>
  <si>
    <t xml:space="preserve">Umsatzmultiple </t>
  </si>
  <si>
    <t>Nullzinsmarkterwartung:</t>
  </si>
  <si>
    <t>Abgezinster Gewinn in Mrd. USD: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</si>
  <si>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</si>
  <si>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</si>
  <si>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</si>
  <si>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</si>
  <si>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</si>
  <si>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</si>
  <si>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</si>
  <si>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</si>
  <si>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</si>
  <si>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>Keine Rundung</t>
  </si>
  <si>
    <t>Beta Faktor:</t>
  </si>
  <si>
    <t>Gewinn je Aktie</t>
  </si>
  <si>
    <t>Gewinn je Aktie multipliziert mit fiktivem KGV</t>
  </si>
  <si>
    <t>Anzahl der Aktien in Mio. diluted (geschätzt)</t>
  </si>
  <si>
    <t>Gewinn (abzgl. Steuern, Zinsen)</t>
  </si>
  <si>
    <t>Quellensteuer USA (15 %)</t>
  </si>
  <si>
    <t>Marktkapitalisierung, Mrd.</t>
  </si>
  <si>
    <t>Alle Angaben in Mrd.</t>
  </si>
  <si>
    <t>Annahmen für Haier Smart Home</t>
  </si>
  <si>
    <t>Anzahl A-Aktien gesamt, Mrd.</t>
  </si>
  <si>
    <t>Anzahl H-Aktien gesamt, Mrd.</t>
  </si>
  <si>
    <t>Anzahl D-Aktien gesamt, Mrd.</t>
  </si>
  <si>
    <t>Kurs pro H-Aktie</t>
  </si>
  <si>
    <t>Kurs pro D-Aktie</t>
  </si>
  <si>
    <t>-</t>
  </si>
  <si>
    <t>(A+H+D)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</si>
</sst>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2"/>
      <color theme="7" tint="0.5999938962981048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/>
      <right style="medium">
        <color theme="1"/>
      </right>
      <top/>
      <bottom/>
      <diagonal/>
    </border>
  </borders>
  <cellStyleXfs count="11">
    <xf numFmtId="0" fontId="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8" fillId="2" borderId="0" xfId="0" applyFont="1" applyFill="1"/>
    <xf numFmtId="0" fontId="0" fillId="3" borderId="0" xfId="0" applyFill="1"/>
    <xf numFmtId="0" fontId="6" fillId="3" borderId="0" xfId="0" applyFont="1" applyFill="1" applyAlignment="1">
      <alignment vertical="center" wrapText="1"/>
    </xf>
    <xf numFmtId="0" fontId="10" fillId="2" borderId="0" xfId="0" applyFont="1" applyFill="1"/>
    <xf numFmtId="9" fontId="10" fillId="2" borderId="0" xfId="1" applyFont="1" applyFill="1"/>
    <xf numFmtId="0" fontId="0" fillId="4" borderId="0" xfId="0" applyFill="1"/>
    <xf numFmtId="0" fontId="6" fillId="4" borderId="0" xfId="0" applyFont="1" applyFill="1"/>
    <xf numFmtId="0" fontId="5" fillId="4" borderId="0" xfId="0" applyFont="1" applyFill="1"/>
    <xf numFmtId="0" fontId="6" fillId="5" borderId="0" xfId="0" applyFont="1" applyFill="1"/>
    <xf numFmtId="165" fontId="4" fillId="7" borderId="0" xfId="1" applyNumberFormat="1" applyFont="1" applyFill="1"/>
    <xf numFmtId="0" fontId="0" fillId="2" borderId="1" xfId="0" applyFill="1" applyBorder="1" applyAlignment="1">
      <alignment wrapText="1"/>
    </xf>
    <xf numFmtId="0" fontId="9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0" fontId="6" fillId="6" borderId="0" xfId="0" applyFont="1" applyFill="1" applyAlignment="1">
      <alignment horizontal="right"/>
    </xf>
    <xf numFmtId="0" fontId="8" fillId="6" borderId="0" xfId="0" applyFont="1" applyFill="1"/>
    <xf numFmtId="0" fontId="11" fillId="6" borderId="0" xfId="0" applyFont="1" applyFill="1"/>
    <xf numFmtId="4" fontId="6" fillId="6" borderId="0" xfId="0" applyNumberFormat="1" applyFont="1" applyFill="1"/>
    <xf numFmtId="0" fontId="6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0" fontId="0" fillId="2" borderId="0" xfId="0" applyNumberFormat="1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2" fillId="2" borderId="0" xfId="0" applyFont="1" applyFill="1"/>
    <xf numFmtId="4" fontId="6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/>
    <xf numFmtId="3" fontId="0" fillId="2" borderId="0" xfId="0" applyNumberFormat="1" applyFill="1"/>
    <xf numFmtId="165" fontId="4" fillId="2" borderId="0" xfId="1" applyNumberFormat="1" applyFont="1" applyFill="1" applyBorder="1"/>
    <xf numFmtId="3" fontId="6" fillId="2" borderId="0" xfId="0" applyNumberFormat="1" applyFont="1" applyFill="1"/>
    <xf numFmtId="165" fontId="6" fillId="2" borderId="0" xfId="1" applyNumberFormat="1" applyFont="1" applyFill="1" applyBorder="1"/>
    <xf numFmtId="9" fontId="0" fillId="2" borderId="0" xfId="1" applyFont="1" applyFill="1" applyBorder="1"/>
    <xf numFmtId="9" fontId="0" fillId="2" borderId="0" xfId="0" applyNumberFormat="1" applyFill="1"/>
    <xf numFmtId="9" fontId="6" fillId="2" borderId="0" xfId="0" applyNumberFormat="1" applyFont="1" applyFill="1"/>
    <xf numFmtId="10" fontId="6" fillId="2" borderId="10" xfId="0" applyNumberFormat="1" applyFont="1" applyFill="1" applyBorder="1"/>
    <xf numFmtId="0" fontId="6" fillId="8" borderId="0" xfId="0" applyFont="1" applyFill="1" applyAlignment="1">
      <alignment vertical="center" wrapText="1"/>
    </xf>
    <xf numFmtId="0" fontId="0" fillId="8" borderId="0" xfId="0" applyFill="1"/>
    <xf numFmtId="4" fontId="10" fillId="8" borderId="0" xfId="0" applyNumberFormat="1" applyFont="1" applyFill="1"/>
    <xf numFmtId="0" fontId="6" fillId="8" borderId="0" xfId="0" applyFont="1" applyFill="1"/>
    <xf numFmtId="1" fontId="4" fillId="8" borderId="0" xfId="1" applyNumberFormat="1" applyFont="1" applyFill="1"/>
    <xf numFmtId="10" fontId="6" fillId="8" borderId="0" xfId="1" applyNumberFormat="1" applyFont="1" applyFill="1"/>
    <xf numFmtId="0" fontId="0" fillId="2" borderId="1" xfId="0" applyFill="1" applyBorder="1"/>
    <xf numFmtId="0" fontId="10" fillId="2" borderId="2" xfId="0" applyFont="1" applyFill="1" applyBorder="1"/>
    <xf numFmtId="2" fontId="8" fillId="2" borderId="2" xfId="0" applyNumberFormat="1" applyFont="1" applyFill="1" applyBorder="1"/>
    <xf numFmtId="2" fontId="8" fillId="2" borderId="3" xfId="0" applyNumberFormat="1" applyFont="1" applyFill="1" applyBorder="1"/>
    <xf numFmtId="0" fontId="11" fillId="7" borderId="0" xfId="0" applyFont="1" applyFill="1" applyAlignment="1">
      <alignment horizontal="right" vertical="center"/>
    </xf>
    <xf numFmtId="4" fontId="0" fillId="8" borderId="0" xfId="0" applyNumberFormat="1" applyFill="1"/>
    <xf numFmtId="9" fontId="0" fillId="9" borderId="0" xfId="1" applyFont="1" applyFill="1"/>
    <xf numFmtId="9" fontId="6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7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6" fillId="2" borderId="0" xfId="1" applyNumberFormat="1" applyFont="1" applyFill="1"/>
    <xf numFmtId="1" fontId="4" fillId="2" borderId="0" xfId="1" applyNumberFormat="1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9" fontId="0" fillId="2" borderId="0" xfId="1" applyFont="1" applyFill="1"/>
    <xf numFmtId="165" fontId="0" fillId="7" borderId="0" xfId="1" applyNumberFormat="1" applyFont="1" applyFill="1"/>
    <xf numFmtId="4" fontId="0" fillId="7" borderId="0" xfId="0" applyNumberFormat="1" applyFill="1"/>
    <xf numFmtId="10" fontId="0" fillId="8" borderId="0" xfId="0" applyNumberFormat="1" applyFill="1"/>
    <xf numFmtId="4" fontId="4" fillId="8" borderId="0" xfId="1" applyNumberFormat="1" applyFont="1" applyFill="1"/>
    <xf numFmtId="0" fontId="0" fillId="2" borderId="0" xfId="0" quotePrefix="1" applyFill="1"/>
    <xf numFmtId="0" fontId="6" fillId="2" borderId="7" xfId="0" applyFont="1" applyFill="1" applyBorder="1"/>
    <xf numFmtId="10" fontId="6" fillId="2" borderId="0" xfId="0" applyNumberFormat="1" applyFont="1" applyFill="1"/>
    <xf numFmtId="10" fontId="0" fillId="2" borderId="5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Alignment="1">
      <alignment horizontal="right"/>
    </xf>
    <xf numFmtId="4" fontId="10" fillId="5" borderId="0" xfId="0" applyNumberFormat="1" applyFont="1" applyFill="1"/>
    <xf numFmtId="164" fontId="11" fillId="6" borderId="0" xfId="0" applyNumberFormat="1" applyFont="1" applyFill="1"/>
    <xf numFmtId="10" fontId="0" fillId="7" borderId="0" xfId="1" applyNumberFormat="1" applyFont="1" applyFill="1"/>
    <xf numFmtId="165" fontId="10" fillId="7" borderId="0" xfId="1" applyNumberFormat="1" applyFont="1" applyFill="1"/>
    <xf numFmtId="9" fontId="10" fillId="5" borderId="0" xfId="1" applyFont="1" applyFill="1"/>
    <xf numFmtId="2" fontId="0" fillId="8" borderId="0" xfId="0" applyNumberFormat="1" applyFill="1"/>
    <xf numFmtId="10" fontId="10" fillId="5" borderId="0" xfId="1" applyNumberFormat="1" applyFont="1" applyFill="1"/>
    <xf numFmtId="165" fontId="10" fillId="5" borderId="0" xfId="1" applyNumberFormat="1" applyFont="1" applyFill="1"/>
    <xf numFmtId="0" fontId="10" fillId="2" borderId="4" xfId="0" applyFont="1" applyFill="1" applyBorder="1"/>
    <xf numFmtId="0" fontId="10" fillId="2" borderId="5" xfId="0" applyFont="1" applyFill="1" applyBorder="1"/>
    <xf numFmtId="10" fontId="10" fillId="2" borderId="5" xfId="0" applyNumberFormat="1" applyFont="1" applyFill="1" applyBorder="1" applyAlignment="1">
      <alignment horizontal="right"/>
    </xf>
    <xf numFmtId="0" fontId="10" fillId="2" borderId="7" xfId="0" applyFont="1" applyFill="1" applyBorder="1"/>
    <xf numFmtId="0" fontId="10" fillId="2" borderId="0" xfId="0" applyFont="1" applyFill="1" applyAlignment="1">
      <alignment horizontal="right"/>
    </xf>
    <xf numFmtId="10" fontId="10" fillId="2" borderId="0" xfId="1" applyNumberFormat="1" applyFont="1" applyFill="1" applyBorder="1" applyAlignment="1">
      <alignment horizontal="right"/>
    </xf>
    <xf numFmtId="10" fontId="10" fillId="2" borderId="0" xfId="0" applyNumberFormat="1" applyFont="1" applyFill="1" applyAlignment="1">
      <alignment horizontal="right"/>
    </xf>
    <xf numFmtId="0" fontId="11" fillId="2" borderId="7" xfId="0" applyFont="1" applyFill="1" applyBorder="1"/>
    <xf numFmtId="0" fontId="11" fillId="2" borderId="0" xfId="0" applyFont="1" applyFill="1"/>
    <xf numFmtId="10" fontId="11" fillId="2" borderId="0" xfId="0" applyNumberFormat="1" applyFont="1" applyFill="1"/>
    <xf numFmtId="9" fontId="10" fillId="6" borderId="0" xfId="1" applyFont="1" applyFill="1"/>
    <xf numFmtId="10" fontId="0" fillId="2" borderId="0" xfId="1" applyNumberFormat="1" applyFont="1" applyFill="1"/>
    <xf numFmtId="10" fontId="0" fillId="2" borderId="7" xfId="0" applyNumberFormat="1" applyFill="1" applyBorder="1"/>
    <xf numFmtId="4" fontId="13" fillId="2" borderId="8" xfId="0" quotePrefix="1" applyNumberFormat="1" applyFont="1" applyFill="1" applyBorder="1"/>
    <xf numFmtId="10" fontId="0" fillId="10" borderId="12" xfId="1" applyNumberFormat="1" applyFont="1" applyFill="1" applyBorder="1"/>
    <xf numFmtId="10" fontId="0" fillId="10" borderId="13" xfId="1" applyNumberFormat="1" applyFont="1" applyFill="1" applyBorder="1"/>
    <xf numFmtId="0" fontId="0" fillId="2" borderId="14" xfId="0" applyFill="1" applyBorder="1"/>
    <xf numFmtId="4" fontId="14" fillId="5" borderId="0" xfId="0" applyNumberFormat="1" applyFont="1" applyFill="1"/>
    <xf numFmtId="4" fontId="0" fillId="8" borderId="0" xfId="0" applyNumberFormat="1" applyFill="1" applyAlignment="1">
      <alignment horizontal="right"/>
    </xf>
    <xf numFmtId="2" fontId="0" fillId="8" borderId="0" xfId="0" applyNumberFormat="1" applyFill="1" applyAlignment="1">
      <alignment horizontal="right"/>
    </xf>
    <xf numFmtId="2" fontId="0" fillId="8" borderId="0" xfId="0" quotePrefix="1" applyNumberFormat="1" applyFill="1" applyAlignment="1">
      <alignment horizontal="right"/>
    </xf>
  </cellXfs>
  <cellStyles count="11">
    <cellStyle name="Prozent" xfId="1" builtinId="5"/>
    <cellStyle name="Prozent 2" xfId="2" xr:uid="{00000000-0005-0000-0000-000001000000}"/>
    <cellStyle name="Prozent 3" xfId="4" xr:uid="{00000000-0005-0000-0000-000002000000}"/>
    <cellStyle name="Prozent 3 2" xfId="8" xr:uid="{ACDD9188-69D6-4028-9709-96C6465716DF}"/>
    <cellStyle name="Prozent 4" xfId="6" xr:uid="{DE5E001C-AEE3-45AD-B913-D01465EAAE5D}"/>
    <cellStyle name="Prozent 4 2" xfId="10" xr:uid="{51C2CB77-11E2-4A8F-AF10-1CB4B8601286}"/>
    <cellStyle name="Standard" xfId="0" builtinId="0"/>
    <cellStyle name="Standard 2" xfId="3" xr:uid="{00000000-0005-0000-0000-000004000000}"/>
    <cellStyle name="Standard 2 2" xfId="7" xr:uid="{715999C6-8BDD-464F-A53F-2D0C0610C1C9}"/>
    <cellStyle name="Standard 3" xfId="5" xr:uid="{D21CDE20-7D2B-4947-8C50-96BDB9D63654}"/>
    <cellStyle name="Standard 3 2" xfId="9" xr:uid="{5011BA1F-B6E3-4681-B716-D0C9CC684563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  <color rgb="FFFF7A5F"/>
      <color rgb="FFCC99FF"/>
      <color rgb="FFFFCC99"/>
      <color rgb="FFFFCC66"/>
      <color rgb="FFFFEB7D"/>
      <color rgb="FF009900"/>
      <color rgb="FFCCCCFF"/>
      <color rgb="FF9966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135466</xdr:colOff>
      <xdr:row>22</xdr:row>
      <xdr:rowOff>84666</xdr:rowOff>
    </xdr:from>
    <xdr:to>
      <xdr:col>12</xdr:col>
      <xdr:colOff>1231532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80E8E9-90E0-4C71-8FA2-90316083A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11866" y="4770966"/>
          <a:ext cx="3559866" cy="1411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135466</xdr:colOff>
      <xdr:row>22</xdr:row>
      <xdr:rowOff>84666</xdr:rowOff>
    </xdr:from>
    <xdr:to>
      <xdr:col>12</xdr:col>
      <xdr:colOff>1231532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84A0DA5-2A72-8643-BB10-9949072F4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11866" y="4770966"/>
          <a:ext cx="3559866" cy="1411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26620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ED6B0C2-47F7-4639-9157-E9F95B4B4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  <xdr:twoCellAnchor editAs="oneCell">
    <xdr:from>
      <xdr:col>10</xdr:col>
      <xdr:colOff>139700</xdr:colOff>
      <xdr:row>22</xdr:row>
      <xdr:rowOff>88900</xdr:rowOff>
    </xdr:from>
    <xdr:to>
      <xdr:col>13</xdr:col>
      <xdr:colOff>3866</xdr:colOff>
      <xdr:row>29</xdr:row>
      <xdr:rowOff>77675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89C3DC4-4684-864C-856D-E38EB5973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16100" y="4775200"/>
          <a:ext cx="3559866" cy="1411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 2013–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EB64-3C98-49AD-AFA7-32CB9200B01E}">
  <dimension ref="A1:AB79"/>
  <sheetViews>
    <sheetView tabSelected="1" zoomScaleNormal="100" workbookViewId="0"/>
  </sheetViews>
  <sheetFormatPr baseColWidth="10" defaultColWidth="0" defaultRowHeight="16" zeroHeight="1" x14ac:dyDescent="0.2"/>
  <cols>
    <col min="1" max="1" width="27" style="1" bestFit="1" customWidth="1"/>
    <col min="2" max="2" width="32.33203125" style="1" customWidth="1"/>
    <col min="3" max="17" width="16.1640625" style="1" customWidth="1"/>
    <col min="18" max="18" width="10.5" style="1" customWidth="1"/>
    <col min="19" max="28" width="0" style="1" hidden="1" customWidth="1"/>
    <col min="29" max="16384" width="10.5" style="1" hidden="1"/>
  </cols>
  <sheetData>
    <row r="1" spans="1:28" x14ac:dyDescent="0.2"/>
    <row r="2" spans="1:28" ht="26" x14ac:dyDescent="0.3">
      <c r="B2" s="31" t="s">
        <v>9</v>
      </c>
    </row>
    <row r="3" spans="1:28" x14ac:dyDescent="0.2"/>
    <row r="4" spans="1:28" x14ac:dyDescent="0.2">
      <c r="B4" s="22" t="s">
        <v>40</v>
      </c>
    </row>
    <row r="5" spans="1:28" x14ac:dyDescent="0.2"/>
    <row r="6" spans="1:28" x14ac:dyDescent="0.2">
      <c r="B6" s="1" t="s">
        <v>39</v>
      </c>
    </row>
    <row r="7" spans="1:28" x14ac:dyDescent="0.2"/>
    <row r="8" spans="1:28" x14ac:dyDescent="0.2"/>
    <row r="9" spans="1:28" s="8" customFormat="1" x14ac:dyDescent="0.2">
      <c r="G9" s="9" t="s">
        <v>8</v>
      </c>
      <c r="H9" s="10"/>
      <c r="I9" s="10"/>
      <c r="J9" s="10"/>
      <c r="K9" s="10"/>
      <c r="L9" s="10"/>
      <c r="M9" s="10"/>
      <c r="N9" s="10"/>
      <c r="O9" s="10"/>
      <c r="P9" s="10"/>
      <c r="Q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">
      <c r="A10" s="4"/>
      <c r="B10" s="4"/>
      <c r="C10" s="11">
        <v>2019</v>
      </c>
      <c r="D10" s="11">
        <f>C10+1</f>
        <v>2020</v>
      </c>
      <c r="E10" s="11">
        <f>D10+1</f>
        <v>2021</v>
      </c>
      <c r="F10" s="11">
        <f>E10+1</f>
        <v>2022</v>
      </c>
      <c r="G10" s="55">
        <f>F10+1</f>
        <v>2023</v>
      </c>
      <c r="H10" s="55">
        <f t="shared" ref="H10:P10" si="0">G10+1</f>
        <v>2024</v>
      </c>
      <c r="I10" s="55">
        <f t="shared" si="0"/>
        <v>2025</v>
      </c>
      <c r="J10" s="55">
        <f t="shared" si="0"/>
        <v>2026</v>
      </c>
      <c r="K10" s="55">
        <f t="shared" si="0"/>
        <v>2027</v>
      </c>
      <c r="L10" s="55">
        <f t="shared" si="0"/>
        <v>2028</v>
      </c>
      <c r="M10" s="55">
        <f t="shared" si="0"/>
        <v>2029</v>
      </c>
      <c r="N10" s="55">
        <f t="shared" si="0"/>
        <v>2030</v>
      </c>
      <c r="O10" s="55">
        <f t="shared" si="0"/>
        <v>2031</v>
      </c>
      <c r="P10" s="55">
        <f t="shared" si="0"/>
        <v>2032</v>
      </c>
      <c r="Q10" s="55" t="str">
        <f>P10+1&amp;"ff."</f>
        <v>2033ff.</v>
      </c>
    </row>
    <row r="11" spans="1:28" x14ac:dyDescent="0.2">
      <c r="A11" s="5"/>
      <c r="B11" s="4" t="s">
        <v>4</v>
      </c>
      <c r="C11" s="82">
        <v>200.76198325657001</v>
      </c>
      <c r="D11" s="82">
        <v>209.72582109944</v>
      </c>
      <c r="E11" s="82">
        <v>227.10581764169001</v>
      </c>
      <c r="F11" s="82">
        <v>243.51356367073001</v>
      </c>
      <c r="G11" s="72">
        <v>262.52499999999998</v>
      </c>
      <c r="H11" s="72">
        <v>282.96899999999999</v>
      </c>
      <c r="I11" s="72">
        <v>304.13400000000001</v>
      </c>
      <c r="J11" s="72">
        <f>I11*(1+J12)</f>
        <v>325.42338000000001</v>
      </c>
      <c r="K11" s="72">
        <f>J11*(1+K12)</f>
        <v>344.9487828</v>
      </c>
      <c r="L11" s="72">
        <f t="shared" ref="L11:Q11" si="1">K11*(1+L12)</f>
        <v>363.92096585399997</v>
      </c>
      <c r="M11" s="72">
        <f t="shared" si="1"/>
        <v>382.1170141467</v>
      </c>
      <c r="N11" s="72">
        <f t="shared" si="1"/>
        <v>399.31227978330145</v>
      </c>
      <c r="O11" s="72">
        <f t="shared" si="1"/>
        <v>415.28477097463355</v>
      </c>
      <c r="P11" s="72">
        <f t="shared" si="1"/>
        <v>429.81973795874569</v>
      </c>
      <c r="Q11" s="72">
        <f t="shared" si="1"/>
        <v>436.26703402812683</v>
      </c>
    </row>
    <row r="12" spans="1:28" x14ac:dyDescent="0.2">
      <c r="A12" s="5"/>
      <c r="B12" s="4" t="s">
        <v>1</v>
      </c>
      <c r="C12" s="86"/>
      <c r="D12" s="89">
        <f t="shared" ref="D12:I12" si="2">D11/C11-1</f>
        <v>4.4649079957605142E-2</v>
      </c>
      <c r="E12" s="89">
        <f t="shared" si="2"/>
        <v>8.2870084623530404E-2</v>
      </c>
      <c r="F12" s="89">
        <f t="shared" si="2"/>
        <v>7.2247140999826209E-2</v>
      </c>
      <c r="G12" s="85">
        <f t="shared" si="2"/>
        <v>7.8071365071789245E-2</v>
      </c>
      <c r="H12" s="85">
        <f t="shared" si="2"/>
        <v>7.7874488143986342E-2</v>
      </c>
      <c r="I12" s="85">
        <f t="shared" si="2"/>
        <v>7.4796179086755066E-2</v>
      </c>
      <c r="J12" s="85">
        <v>7.0000000000000007E-2</v>
      </c>
      <c r="K12" s="71">
        <v>0.06</v>
      </c>
      <c r="L12" s="71">
        <v>5.5E-2</v>
      </c>
      <c r="M12" s="71">
        <v>0.05</v>
      </c>
      <c r="N12" s="71">
        <v>4.4999999999999998E-2</v>
      </c>
      <c r="O12" s="71">
        <v>0.04</v>
      </c>
      <c r="P12" s="71">
        <v>3.5000000000000003E-2</v>
      </c>
      <c r="Q12" s="12">
        <v>1.4999999999999999E-2</v>
      </c>
    </row>
    <row r="13" spans="1:28" ht="16" customHeight="1" x14ac:dyDescent="0.2">
      <c r="A13" s="5"/>
      <c r="B13" s="4" t="s">
        <v>13</v>
      </c>
      <c r="C13" s="88">
        <f>C14/C11</f>
        <v>7.1999999999999995E-2</v>
      </c>
      <c r="D13" s="88">
        <f t="shared" ref="D13:F13" si="3">D14/D11</f>
        <v>6.4799999999999996E-2</v>
      </c>
      <c r="E13" s="88">
        <f t="shared" si="3"/>
        <v>6.9800000000000001E-2</v>
      </c>
      <c r="F13" s="88">
        <f t="shared" si="3"/>
        <v>7.0699999999999999E-2</v>
      </c>
      <c r="G13" s="84">
        <f>G14/G11</f>
        <v>7.5300000000000006E-2</v>
      </c>
      <c r="H13" s="84">
        <f t="shared" ref="H13:I13" si="4">H14/H11</f>
        <v>8.0399999999999999E-2</v>
      </c>
      <c r="I13" s="84">
        <f t="shared" si="4"/>
        <v>8.48E-2</v>
      </c>
      <c r="J13" s="84">
        <v>8.5000000000000006E-2</v>
      </c>
      <c r="K13" s="84">
        <v>0.08</v>
      </c>
      <c r="L13" s="84">
        <v>7.4999999999999997E-2</v>
      </c>
      <c r="M13" s="84">
        <v>7.0000000000000007E-2</v>
      </c>
      <c r="N13" s="84">
        <v>6.5000000000000002E-2</v>
      </c>
      <c r="O13" s="84">
        <v>6.5000000000000002E-2</v>
      </c>
      <c r="P13" s="84">
        <v>0.06</v>
      </c>
      <c r="Q13" s="84">
        <v>0.06</v>
      </c>
    </row>
    <row r="14" spans="1:28" ht="17.25" customHeight="1" x14ac:dyDescent="0.2">
      <c r="A14" s="5"/>
      <c r="B14" s="4" t="s">
        <v>14</v>
      </c>
      <c r="C14" s="82">
        <v>14.454862794473039</v>
      </c>
      <c r="D14" s="82">
        <v>13.590233207243712</v>
      </c>
      <c r="E14" s="82">
        <v>15.851986071389963</v>
      </c>
      <c r="F14" s="82">
        <v>17.216408951520613</v>
      </c>
      <c r="G14" s="72">
        <v>19.7681325</v>
      </c>
      <c r="H14" s="72">
        <v>22.750707599999998</v>
      </c>
      <c r="I14" s="72">
        <v>25.790563200000001</v>
      </c>
      <c r="J14" s="72">
        <f>J11*J13</f>
        <v>27.660987300000002</v>
      </c>
      <c r="K14" s="72">
        <f t="shared" ref="K14:Q14" si="5">K11*K13</f>
        <v>27.595902624000001</v>
      </c>
      <c r="L14" s="72">
        <f t="shared" si="5"/>
        <v>27.294072439049998</v>
      </c>
      <c r="M14" s="72">
        <f t="shared" si="5"/>
        <v>26.748190990269002</v>
      </c>
      <c r="N14" s="72">
        <f t="shared" si="5"/>
        <v>25.955298185914597</v>
      </c>
      <c r="O14" s="72">
        <f t="shared" si="5"/>
        <v>26.993510113351181</v>
      </c>
      <c r="P14" s="72">
        <f>P11*P13</f>
        <v>25.78918427752474</v>
      </c>
      <c r="Q14" s="72">
        <f t="shared" si="5"/>
        <v>26.176022041687609</v>
      </c>
    </row>
    <row r="15" spans="1:28" x14ac:dyDescent="0.2">
      <c r="A15" s="100">
        <v>0.2</v>
      </c>
      <c r="B15" s="4" t="s">
        <v>36</v>
      </c>
      <c r="C15" s="82">
        <v>8.2062471059599993</v>
      </c>
      <c r="D15" s="82">
        <v>8.8765932081900001</v>
      </c>
      <c r="E15" s="82">
        <v>13.0788405171</v>
      </c>
      <c r="F15" s="82">
        <v>14.71092349199</v>
      </c>
      <c r="G15" s="72">
        <v>16.512822499999999</v>
      </c>
      <c r="H15" s="72">
        <v>18.9023292</v>
      </c>
      <c r="I15" s="72">
        <v>21.380620200000003</v>
      </c>
      <c r="J15" s="72">
        <f>J14*(1-$A$15)</f>
        <v>22.128789840000003</v>
      </c>
      <c r="K15" s="72">
        <f>K14*(1-$A$15)</f>
        <v>22.076722099200001</v>
      </c>
      <c r="L15" s="72">
        <f t="shared" ref="L15:Q15" si="6">L14*(1-$A$15)</f>
        <v>21.835257951239999</v>
      </c>
      <c r="M15" s="72">
        <f t="shared" si="6"/>
        <v>21.398552792215202</v>
      </c>
      <c r="N15" s="72">
        <f t="shared" si="6"/>
        <v>20.764238548731679</v>
      </c>
      <c r="O15" s="72">
        <f t="shared" si="6"/>
        <v>21.594808090680946</v>
      </c>
      <c r="P15" s="72">
        <f>P14*(1-$A$15)</f>
        <v>20.631347422019793</v>
      </c>
      <c r="Q15" s="72">
        <f t="shared" si="6"/>
        <v>20.94081763335009</v>
      </c>
    </row>
    <row r="16" spans="1:28" ht="35" hidden="1" thickBot="1" x14ac:dyDescent="0.25">
      <c r="A16" s="13" t="s">
        <v>5</v>
      </c>
      <c r="B16" s="14"/>
      <c r="C16" s="15">
        <f t="shared" ref="C16:J16" si="7">C15/C14</f>
        <v>0.56771532339260533</v>
      </c>
      <c r="D16" s="15">
        <f t="shared" si="7"/>
        <v>0.65315974147218459</v>
      </c>
      <c r="E16" s="15">
        <f t="shared" si="7"/>
        <v>0.82506005608376098</v>
      </c>
      <c r="F16" s="15">
        <f t="shared" si="7"/>
        <v>0.85447107659990151</v>
      </c>
      <c r="G16" s="15">
        <f t="shared" si="7"/>
        <v>0.83532536520584322</v>
      </c>
      <c r="H16" s="15">
        <f t="shared" si="7"/>
        <v>0.83084577114427871</v>
      </c>
      <c r="I16" s="15">
        <f t="shared" si="7"/>
        <v>0.82900943396226423</v>
      </c>
      <c r="J16" s="15">
        <f t="shared" si="7"/>
        <v>0.8</v>
      </c>
    </row>
    <row r="17" spans="1:18" ht="17" x14ac:dyDescent="0.2">
      <c r="A17" s="2" t="s">
        <v>33</v>
      </c>
      <c r="C17" s="82"/>
      <c r="D17" s="82"/>
      <c r="E17" s="82"/>
      <c r="F17" s="82"/>
      <c r="G17" s="72">
        <f>G15/G18</f>
        <v>1.7701106544371388</v>
      </c>
      <c r="H17" s="72">
        <f t="shared" ref="H17:P17" si="8">H15/H18</f>
        <v>2.016175645187805</v>
      </c>
      <c r="I17" s="72">
        <f t="shared" si="8"/>
        <v>2.269171283567768</v>
      </c>
      <c r="J17" s="72">
        <f t="shared" si="8"/>
        <v>2.3368916808898725</v>
      </c>
      <c r="K17" s="72">
        <f t="shared" si="8"/>
        <v>2.3197941415213488</v>
      </c>
      <c r="L17" s="72">
        <f t="shared" si="8"/>
        <v>2.2830063612919989</v>
      </c>
      <c r="M17" s="72">
        <f t="shared" si="8"/>
        <v>2.2262151582747856</v>
      </c>
      <c r="N17" s="72">
        <f t="shared" si="8"/>
        <v>2.1494763983768985</v>
      </c>
      <c r="O17" s="72">
        <f t="shared" si="8"/>
        <v>2.2243337853850491</v>
      </c>
      <c r="P17" s="72">
        <f t="shared" si="8"/>
        <v>2.1145216696886573</v>
      </c>
      <c r="Q17" s="72"/>
    </row>
    <row r="18" spans="1:18" ht="35" thickBot="1" x14ac:dyDescent="0.25">
      <c r="A18" s="2" t="s">
        <v>35</v>
      </c>
      <c r="C18" s="107">
        <v>1.0049999999999999</v>
      </c>
      <c r="D18" s="82"/>
      <c r="E18" s="82"/>
      <c r="F18" s="82"/>
      <c r="G18" s="72">
        <f>D50</f>
        <v>9.3286950500000003</v>
      </c>
      <c r="H18" s="72">
        <f>G18*$C18</f>
        <v>9.3753385252499992</v>
      </c>
      <c r="I18" s="72">
        <f t="shared" ref="I18:O18" si="9">H18*$C18</f>
        <v>9.4222152178762482</v>
      </c>
      <c r="J18" s="72">
        <f t="shared" si="9"/>
        <v>9.4693262939656275</v>
      </c>
      <c r="K18" s="72">
        <f t="shared" si="9"/>
        <v>9.5166729254354543</v>
      </c>
      <c r="L18" s="72">
        <f t="shared" si="9"/>
        <v>9.5642562900626302</v>
      </c>
      <c r="M18" s="72">
        <f t="shared" si="9"/>
        <v>9.612077571512943</v>
      </c>
      <c r="N18" s="72">
        <f t="shared" si="9"/>
        <v>9.6601379593705072</v>
      </c>
      <c r="O18" s="72">
        <f t="shared" si="9"/>
        <v>9.7084386491673591</v>
      </c>
      <c r="P18" s="72">
        <f>O18*$C18</f>
        <v>9.7569808424131956</v>
      </c>
      <c r="Q18" s="72"/>
    </row>
    <row r="19" spans="1:18" ht="17" thickBot="1" x14ac:dyDescent="0.25">
      <c r="A19" s="2"/>
      <c r="E19" s="51" t="s">
        <v>10</v>
      </c>
      <c r="F19" s="52"/>
      <c r="G19" s="53">
        <f>G15/(1+$C$59)</f>
        <v>15.343993774246751</v>
      </c>
      <c r="H19" s="53">
        <f>H15/(1+$C$59)^2</f>
        <v>16.321103713073903</v>
      </c>
      <c r="I19" s="53">
        <f>I15/(1+$C$59)^3</f>
        <v>17.154244742421504</v>
      </c>
      <c r="J19" s="53">
        <f>J15/(1+$C$59)^4</f>
        <v>16.497801287872004</v>
      </c>
      <c r="K19" s="53">
        <f>K15/(1+$C$59)^5</f>
        <v>15.293965137547831</v>
      </c>
      <c r="L19" s="53">
        <f>L15/(1+$C$59)^6</f>
        <v>14.055973604530767</v>
      </c>
      <c r="M19" s="53">
        <f>M15/(1+$C$59)^7</f>
        <v>12.799827288721772</v>
      </c>
      <c r="N19" s="53">
        <f>N15/(1+$C$59)^8</f>
        <v>11.541249180615555</v>
      </c>
      <c r="O19" s="53">
        <f>O15/(1+$C$59)^9</f>
        <v>11.153296766641276</v>
      </c>
      <c r="P19" s="53">
        <f>P15/(1+$C$59)^10</f>
        <v>9.901445528532113</v>
      </c>
      <c r="Q19" s="54">
        <f>(Q15/(C59-Q12))/(1+C59)^10</f>
        <v>164.28225928009962</v>
      </c>
    </row>
    <row r="20" spans="1:18" x14ac:dyDescent="0.2">
      <c r="A20" s="2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6"/>
      <c r="P20" s="3"/>
      <c r="Q20" s="3"/>
      <c r="R20" s="3"/>
    </row>
    <row r="21" spans="1:18" x14ac:dyDescent="0.2">
      <c r="A21" s="2"/>
      <c r="J21" s="101"/>
      <c r="K21" s="101"/>
      <c r="L21" s="101"/>
      <c r="M21" s="101"/>
      <c r="N21" s="101"/>
      <c r="O21" s="101"/>
      <c r="P21" s="101"/>
      <c r="Q21" s="101"/>
      <c r="R21" s="3"/>
    </row>
    <row r="22" spans="1:18" ht="17" thickBot="1" x14ac:dyDescent="0.25">
      <c r="P22" s="3"/>
      <c r="Q22" s="3"/>
      <c r="R22" s="3"/>
    </row>
    <row r="23" spans="1:18" x14ac:dyDescent="0.2">
      <c r="A23" s="32" t="s">
        <v>22</v>
      </c>
      <c r="B23" s="33"/>
      <c r="C23" s="33"/>
      <c r="D23" s="34"/>
      <c r="E23" s="23"/>
      <c r="F23" s="33"/>
      <c r="G23" s="90" t="s">
        <v>23</v>
      </c>
      <c r="H23" s="91"/>
      <c r="I23" s="92">
        <v>3.7499999999999999E-2</v>
      </c>
      <c r="J23" s="24" t="s">
        <v>24</v>
      </c>
    </row>
    <row r="24" spans="1:18" x14ac:dyDescent="0.2">
      <c r="A24" s="35"/>
      <c r="B24" s="36"/>
      <c r="C24" s="36"/>
      <c r="D24" s="37"/>
      <c r="E24" s="36"/>
      <c r="F24" s="36"/>
      <c r="G24" s="93"/>
      <c r="H24" s="6"/>
      <c r="I24" s="94"/>
      <c r="J24" s="26"/>
    </row>
    <row r="25" spans="1:18" x14ac:dyDescent="0.2">
      <c r="A25" s="35"/>
      <c r="B25" s="36"/>
      <c r="C25" s="36"/>
      <c r="D25" s="38"/>
      <c r="F25" s="36"/>
      <c r="G25" s="93" t="s">
        <v>25</v>
      </c>
      <c r="H25" s="6"/>
      <c r="I25" s="95">
        <f>(I27-I23)*I29</f>
        <v>3.8675000000000008E-2</v>
      </c>
      <c r="J25" s="26"/>
    </row>
    <row r="26" spans="1:18" x14ac:dyDescent="0.2">
      <c r="A26" s="35"/>
      <c r="B26" s="36"/>
      <c r="C26" s="36"/>
      <c r="D26" s="38"/>
      <c r="F26" s="36"/>
      <c r="G26" s="93"/>
      <c r="H26" s="6"/>
      <c r="I26" s="94"/>
      <c r="J26" s="26"/>
    </row>
    <row r="27" spans="1:18" x14ac:dyDescent="0.2">
      <c r="A27" s="35"/>
      <c r="B27" s="36"/>
      <c r="C27" s="36"/>
      <c r="D27" s="38"/>
      <c r="F27" s="36"/>
      <c r="G27" s="93" t="s">
        <v>26</v>
      </c>
      <c r="H27" s="6"/>
      <c r="I27" s="96">
        <v>7.0000000000000007E-2</v>
      </c>
      <c r="J27" s="26" t="s">
        <v>27</v>
      </c>
    </row>
    <row r="28" spans="1:18" x14ac:dyDescent="0.2">
      <c r="A28" s="35"/>
      <c r="B28" s="36"/>
      <c r="C28" s="36"/>
      <c r="D28" s="39"/>
      <c r="F28" s="36"/>
      <c r="G28" s="93"/>
      <c r="H28" s="6"/>
      <c r="I28" s="94"/>
      <c r="J28" s="26"/>
    </row>
    <row r="29" spans="1:18" x14ac:dyDescent="0.2">
      <c r="A29" s="35"/>
      <c r="B29" s="36"/>
      <c r="C29" s="36"/>
      <c r="D29" s="39"/>
      <c r="F29" s="36"/>
      <c r="G29" s="93" t="s">
        <v>32</v>
      </c>
      <c r="H29" s="6"/>
      <c r="I29" s="79">
        <v>1.19</v>
      </c>
      <c r="J29" s="26" t="s">
        <v>28</v>
      </c>
    </row>
    <row r="30" spans="1:18" x14ac:dyDescent="0.2">
      <c r="A30" s="35"/>
      <c r="B30" s="36"/>
      <c r="C30" s="36"/>
      <c r="D30" s="40"/>
      <c r="F30" s="36"/>
      <c r="G30" s="93"/>
      <c r="H30" s="6"/>
      <c r="I30" s="94"/>
      <c r="J30" s="26"/>
    </row>
    <row r="31" spans="1:18" x14ac:dyDescent="0.2">
      <c r="A31" s="35"/>
      <c r="B31" s="36"/>
      <c r="C31" s="36"/>
      <c r="D31" s="37"/>
      <c r="F31" s="36"/>
      <c r="G31" s="93" t="s">
        <v>29</v>
      </c>
      <c r="H31" s="6"/>
      <c r="I31" s="96">
        <f>I23+(I27-I23)*I29</f>
        <v>7.6175000000000007E-2</v>
      </c>
      <c r="J31" s="26" t="s">
        <v>30</v>
      </c>
    </row>
    <row r="32" spans="1:18" x14ac:dyDescent="0.2">
      <c r="A32" s="25"/>
      <c r="C32" s="41"/>
      <c r="E32" s="36"/>
      <c r="F32" s="36"/>
      <c r="G32" s="93"/>
      <c r="H32" s="6"/>
      <c r="I32" s="6"/>
      <c r="J32" s="26"/>
    </row>
    <row r="33" spans="1:10" x14ac:dyDescent="0.2">
      <c r="A33" s="25"/>
      <c r="G33" s="97" t="s">
        <v>31</v>
      </c>
      <c r="H33" s="98"/>
      <c r="I33" s="99">
        <f>I31</f>
        <v>7.6175000000000007E-2</v>
      </c>
      <c r="J33" s="26"/>
    </row>
    <row r="34" spans="1:10" x14ac:dyDescent="0.2">
      <c r="A34" s="35" t="s">
        <v>6</v>
      </c>
      <c r="B34" s="36"/>
      <c r="C34" s="42"/>
      <c r="D34" s="27"/>
      <c r="G34" s="93"/>
      <c r="H34" s="6"/>
      <c r="I34" s="6"/>
      <c r="J34" s="26"/>
    </row>
    <row r="35" spans="1:10" ht="15.75" hidden="1" customHeight="1" x14ac:dyDescent="0.2">
      <c r="A35" s="25"/>
      <c r="G35" s="25"/>
      <c r="J35" s="26"/>
    </row>
    <row r="36" spans="1:10" ht="15.75" hidden="1" customHeight="1" x14ac:dyDescent="0.2">
      <c r="A36" s="25"/>
      <c r="B36" s="1" t="s">
        <v>7</v>
      </c>
      <c r="D36" s="43">
        <v>0.08</v>
      </c>
      <c r="G36" s="25"/>
      <c r="J36" s="26"/>
    </row>
    <row r="37" spans="1:10" ht="15.75" hidden="1" customHeight="1" x14ac:dyDescent="0.2">
      <c r="A37" s="25"/>
      <c r="G37" s="25"/>
      <c r="J37" s="26"/>
    </row>
    <row r="38" spans="1:10" ht="15.75" hidden="1" customHeight="1" x14ac:dyDescent="0.2">
      <c r="A38" s="25"/>
      <c r="G38" s="25"/>
      <c r="J38" s="26"/>
    </row>
    <row r="39" spans="1:10" ht="15.75" hidden="1" customHeight="1" x14ac:dyDescent="0.2">
      <c r="A39" s="25"/>
      <c r="G39" s="25"/>
      <c r="J39" s="26"/>
    </row>
    <row r="40" spans="1:10" hidden="1" x14ac:dyDescent="0.2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">
      <c r="A45" s="25"/>
      <c r="G45" s="25"/>
      <c r="J45" s="26"/>
    </row>
    <row r="46" spans="1:10" ht="17" thickBot="1" x14ac:dyDescent="0.25">
      <c r="A46" s="28"/>
      <c r="B46" s="29" t="s">
        <v>18</v>
      </c>
      <c r="C46" s="29"/>
      <c r="D46" s="44">
        <f>I33</f>
        <v>7.6175000000000007E-2</v>
      </c>
      <c r="E46" s="29"/>
      <c r="F46" s="29"/>
      <c r="G46" s="28"/>
      <c r="H46" s="29"/>
      <c r="I46" s="29"/>
      <c r="J46" s="30"/>
    </row>
    <row r="47" spans="1:10" x14ac:dyDescent="0.2"/>
    <row r="48" spans="1:10" x14ac:dyDescent="0.2">
      <c r="A48" s="16"/>
      <c r="B48" s="17"/>
      <c r="C48" s="83">
        <v>45177</v>
      </c>
      <c r="D48" s="18" t="s">
        <v>3</v>
      </c>
      <c r="E48" s="19"/>
      <c r="F48" s="20"/>
      <c r="G48" s="21"/>
      <c r="H48" s="21"/>
      <c r="I48" s="21"/>
    </row>
    <row r="49" spans="1:17" ht="17" x14ac:dyDescent="0.2">
      <c r="A49" s="45" t="s">
        <v>0</v>
      </c>
      <c r="B49" s="46" t="s">
        <v>38</v>
      </c>
      <c r="C49" s="56">
        <f>C50*C51+C52*C53+C54*C55</f>
        <v>214.30072268197003</v>
      </c>
      <c r="D49" s="47">
        <f>SUM(G19:Q19)</f>
        <v>304.34516030430314</v>
      </c>
      <c r="E49" s="46"/>
    </row>
    <row r="50" spans="1:17" x14ac:dyDescent="0.2">
      <c r="A50" s="45"/>
      <c r="B50" s="46" t="s">
        <v>41</v>
      </c>
      <c r="C50" s="56">
        <f>6.199132811</f>
        <v>6.1991328110000001</v>
      </c>
      <c r="D50" s="56">
        <f>C50+C52+C54</f>
        <v>9.3286950500000003</v>
      </c>
      <c r="E50" s="46" t="s">
        <v>47</v>
      </c>
    </row>
    <row r="51" spans="1:17" x14ac:dyDescent="0.2">
      <c r="A51" s="45"/>
      <c r="B51" s="46" t="s">
        <v>11</v>
      </c>
      <c r="C51" s="87">
        <v>23.6</v>
      </c>
      <c r="D51" s="56">
        <f>D49/(D50)</f>
        <v>32.624623130359815</v>
      </c>
      <c r="E51" s="46"/>
    </row>
    <row r="52" spans="1:17" x14ac:dyDescent="0.2">
      <c r="A52" s="45"/>
      <c r="B52" s="46" t="s">
        <v>42</v>
      </c>
      <c r="C52" s="87">
        <f>2.858548266</f>
        <v>2.8585482660000001</v>
      </c>
      <c r="D52" s="108" t="s">
        <v>46</v>
      </c>
      <c r="E52" s="46"/>
    </row>
    <row r="53" spans="1:17" x14ac:dyDescent="0.2">
      <c r="A53" s="45"/>
      <c r="B53" s="46" t="s">
        <v>44</v>
      </c>
      <c r="C53" s="87">
        <v>22.98</v>
      </c>
      <c r="D53" s="108" t="s">
        <v>46</v>
      </c>
      <c r="E53" s="46"/>
    </row>
    <row r="54" spans="1:17" x14ac:dyDescent="0.2">
      <c r="A54" s="45"/>
      <c r="B54" s="46" t="s">
        <v>43</v>
      </c>
      <c r="C54" s="87">
        <f>0.271013973</f>
        <v>0.27101397300000002</v>
      </c>
      <c r="D54" s="108" t="s">
        <v>46</v>
      </c>
      <c r="E54" s="46"/>
    </row>
    <row r="55" spans="1:17" x14ac:dyDescent="0.2">
      <c r="A55" s="45"/>
      <c r="B55" s="46" t="s">
        <v>45</v>
      </c>
      <c r="C55" s="87">
        <v>8.5299999999999994</v>
      </c>
      <c r="D55" s="108" t="s">
        <v>46</v>
      </c>
      <c r="E55" s="46"/>
    </row>
    <row r="56" spans="1:17" x14ac:dyDescent="0.2">
      <c r="A56" s="45"/>
      <c r="B56" s="46" t="s">
        <v>2</v>
      </c>
      <c r="C56" s="46"/>
      <c r="D56" s="57">
        <f>IF(C49/D49-1&gt;0,0,C49/D49-1)*-1</f>
        <v>0.29586288650787518</v>
      </c>
      <c r="E56" s="46"/>
    </row>
    <row r="57" spans="1:17" x14ac:dyDescent="0.2">
      <c r="A57" s="45"/>
      <c r="B57" s="46" t="s">
        <v>12</v>
      </c>
      <c r="C57" s="46"/>
      <c r="D57" s="58">
        <f>IF(C49/D49-1&lt;0,0,C49/D49-1)</f>
        <v>0</v>
      </c>
      <c r="E57" s="46"/>
    </row>
    <row r="58" spans="1:17" x14ac:dyDescent="0.2">
      <c r="A58" s="46"/>
      <c r="B58" s="46"/>
      <c r="C58" s="46"/>
      <c r="D58" s="48"/>
      <c r="E58" s="48"/>
    </row>
    <row r="59" spans="1:17" x14ac:dyDescent="0.2">
      <c r="A59" s="48" t="s">
        <v>17</v>
      </c>
      <c r="B59" s="46"/>
      <c r="C59" s="50">
        <f>D46</f>
        <v>7.6175000000000007E-2</v>
      </c>
      <c r="D59" s="49"/>
      <c r="E59" s="46"/>
      <c r="J59" s="70"/>
    </row>
    <row r="60" spans="1:17" x14ac:dyDescent="0.2">
      <c r="A60" s="48"/>
      <c r="B60" s="46"/>
      <c r="C60" s="50"/>
      <c r="D60" s="49"/>
      <c r="E60" s="46"/>
    </row>
    <row r="61" spans="1:17" hidden="1" x14ac:dyDescent="0.2">
      <c r="A61" s="48" t="s">
        <v>20</v>
      </c>
      <c r="B61" s="73">
        <v>0.108</v>
      </c>
      <c r="C61" s="50"/>
      <c r="D61" s="74">
        <f>SUM(H61:Q61)*1000</f>
        <v>194625.43182323987</v>
      </c>
      <c r="E61" s="46"/>
      <c r="F61" s="1" t="s">
        <v>21</v>
      </c>
      <c r="H61" s="1">
        <f>G15/(1+$B$61)</f>
        <v>14.903269404332127</v>
      </c>
      <c r="I61" s="1">
        <f>H15/(1+$B$61)^2</f>
        <v>15.396989078444912</v>
      </c>
      <c r="J61" s="1">
        <f>I15/(1+$B$61)^3</f>
        <v>15.718135115274897</v>
      </c>
      <c r="K61" s="1">
        <f>J15/(1+$B$61)^4</f>
        <v>14.682453114647915</v>
      </c>
      <c r="L61" s="1">
        <f>K15/(1+$B$61)^5</f>
        <v>13.220131918901497</v>
      </c>
      <c r="M61" s="1">
        <f>L15/(1+$B$61)^6</f>
        <v>11.801025926027535</v>
      </c>
      <c r="N61" s="1">
        <f>M15/(1+$B$61)^7</f>
        <v>10.43773051219042</v>
      </c>
      <c r="O61" s="1">
        <f>N15/(1+$B$61)^8</f>
        <v>9.1410887705071424</v>
      </c>
      <c r="P61" s="1">
        <f>O15/(1+$B$61)^9</f>
        <v>8.5800833224976785</v>
      </c>
      <c r="Q61" s="1">
        <f>(Q15/(B61-Q12))/(1+B61)^10</f>
        <v>80.744524660415749</v>
      </c>
    </row>
    <row r="62" spans="1:17" ht="17" thickBot="1" x14ac:dyDescent="0.25">
      <c r="A62" s="22"/>
      <c r="C62" s="65"/>
      <c r="D62" s="66"/>
    </row>
    <row r="63" spans="1:17" x14ac:dyDescent="0.2">
      <c r="A63" s="59" t="str">
        <f>"KGV Multiple in "&amp;P10</f>
        <v>KGV Multiple in 2032</v>
      </c>
      <c r="B63" s="23"/>
      <c r="C63" s="67">
        <v>12</v>
      </c>
      <c r="D63" s="23"/>
      <c r="E63" s="24"/>
    </row>
    <row r="64" spans="1:17" x14ac:dyDescent="0.2">
      <c r="A64" s="25" t="s">
        <v>19</v>
      </c>
      <c r="C64" s="68"/>
      <c r="E64" s="26"/>
    </row>
    <row r="65" spans="1:5" x14ac:dyDescent="0.2">
      <c r="A65" s="25"/>
      <c r="C65" s="68"/>
      <c r="E65" s="26"/>
    </row>
    <row r="66" spans="1:5" x14ac:dyDescent="0.2">
      <c r="A66" s="25" t="s">
        <v>34</v>
      </c>
      <c r="C66" s="68"/>
      <c r="E66" s="60">
        <f>P17*C63</f>
        <v>25.374260036263887</v>
      </c>
    </row>
    <row r="67" spans="1:5" x14ac:dyDescent="0.2">
      <c r="A67" s="25"/>
      <c r="C67" s="68"/>
      <c r="E67" s="26"/>
    </row>
    <row r="68" spans="1:5" x14ac:dyDescent="0.2">
      <c r="A68" s="25" t="s">
        <v>15</v>
      </c>
      <c r="C68" s="69">
        <v>0.3</v>
      </c>
      <c r="E68" s="26"/>
    </row>
    <row r="69" spans="1:5" x14ac:dyDescent="0.2">
      <c r="A69" s="25"/>
      <c r="E69" s="26"/>
    </row>
    <row r="70" spans="1:5" x14ac:dyDescent="0.2">
      <c r="A70" s="25" t="s">
        <v>16</v>
      </c>
      <c r="E70" s="60">
        <f>SUM(G17:Q17)*C68</f>
        <v>6.5129090335863964</v>
      </c>
    </row>
    <row r="71" spans="1:5" x14ac:dyDescent="0.2">
      <c r="A71" s="25"/>
      <c r="E71" s="61"/>
    </row>
    <row r="72" spans="1:5" x14ac:dyDescent="0.2">
      <c r="A72" s="102" t="s">
        <v>37</v>
      </c>
      <c r="E72" s="103">
        <f>(E70*0.1)*-1</f>
        <v>-0.65129090335863971</v>
      </c>
    </row>
    <row r="73" spans="1:5" x14ac:dyDescent="0.2">
      <c r="A73" s="25"/>
      <c r="C73" s="41"/>
      <c r="D73" s="41"/>
      <c r="E73" s="62"/>
    </row>
    <row r="74" spans="1:5" x14ac:dyDescent="0.2">
      <c r="A74" s="25" t="str">
        <f>"Gesamtwert "&amp;P10</f>
        <v>Gesamtwert 2032</v>
      </c>
      <c r="E74" s="60">
        <f>SUM(E66:E72)</f>
        <v>31.235878166491645</v>
      </c>
    </row>
    <row r="75" spans="1:5" x14ac:dyDescent="0.2">
      <c r="A75" s="25"/>
      <c r="E75" s="60"/>
    </row>
    <row r="76" spans="1:5" x14ac:dyDescent="0.2">
      <c r="A76" s="25" t="str">
        <f>"Steigerung Gesamt bis "&amp;P10&amp;" in Prozent"</f>
        <v>Steigerung Gesamt bis 2032 in Prozent</v>
      </c>
      <c r="E76" s="62">
        <f>E74/C51-1</f>
        <v>0.32355415959710343</v>
      </c>
    </row>
    <row r="77" spans="1:5" x14ac:dyDescent="0.2">
      <c r="A77" s="25"/>
      <c r="E77" s="26"/>
    </row>
    <row r="78" spans="1:5" ht="17" thickBot="1" x14ac:dyDescent="0.25">
      <c r="A78" s="63" t="str">
        <f>"Renditeerwartung bis "&amp;P10&amp;" pro Jahr"</f>
        <v>Renditeerwartung bis 2032 pro Jahr</v>
      </c>
      <c r="B78" s="64"/>
      <c r="C78" s="64"/>
      <c r="D78" s="64"/>
      <c r="E78" s="105">
        <f>(E74/C51)^(1/10)-1</f>
        <v>2.8428661829820179E-2</v>
      </c>
    </row>
    <row r="79" spans="1:5" x14ac:dyDescent="0.2"/>
  </sheetData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conditionalFormatting sqref="G6:J8">
    <cfRule type="top10" dxfId="11" priority="5" percent="1" rank="10"/>
  </conditionalFormatting>
  <conditionalFormatting sqref="K9">
    <cfRule type="top10" dxfId="10" priority="4" percent="1" rank="10"/>
  </conditionalFormatting>
  <conditionalFormatting sqref="L2:L5">
    <cfRule type="top10" dxfId="9" priority="3" percent="1" rank="10"/>
  </conditionalFormatting>
  <conditionalFormatting sqref="L6:L8">
    <cfRule type="top10" dxfId="8" priority="6" percent="1" rank="10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089AB-A969-864E-B80B-9176CDCA58C7}">
  <dimension ref="A1:AB79"/>
  <sheetViews>
    <sheetView zoomScaleNormal="100" workbookViewId="0"/>
  </sheetViews>
  <sheetFormatPr baseColWidth="10" defaultColWidth="0" defaultRowHeight="16" zeroHeight="1" x14ac:dyDescent="0.2"/>
  <cols>
    <col min="1" max="1" width="27" style="1" bestFit="1" customWidth="1"/>
    <col min="2" max="2" width="32.33203125" style="1" customWidth="1"/>
    <col min="3" max="17" width="16.1640625" style="1" customWidth="1"/>
    <col min="18" max="18" width="10.5" style="1" customWidth="1"/>
    <col min="19" max="28" width="0" style="1" hidden="1" customWidth="1"/>
    <col min="29" max="16384" width="10.5" style="1" hidden="1"/>
  </cols>
  <sheetData>
    <row r="1" spans="1:28" x14ac:dyDescent="0.2"/>
    <row r="2" spans="1:28" ht="26" x14ac:dyDescent="0.3">
      <c r="B2" s="31" t="s">
        <v>9</v>
      </c>
    </row>
    <row r="3" spans="1:28" x14ac:dyDescent="0.2"/>
    <row r="4" spans="1:28" x14ac:dyDescent="0.2">
      <c r="B4" s="22" t="str">
        <f>Pessimistisch!B4</f>
        <v>Annahmen für Haier Smart Home</v>
      </c>
    </row>
    <row r="5" spans="1:28" x14ac:dyDescent="0.2"/>
    <row r="6" spans="1:28" x14ac:dyDescent="0.2">
      <c r="B6" s="1" t="str">
        <f>Pessimistisch!B6</f>
        <v>Alle Angaben in Mrd.</v>
      </c>
    </row>
    <row r="7" spans="1:28" x14ac:dyDescent="0.2"/>
    <row r="8" spans="1:28" x14ac:dyDescent="0.2"/>
    <row r="9" spans="1:28" s="8" customFormat="1" x14ac:dyDescent="0.2">
      <c r="G9" s="9" t="s">
        <v>8</v>
      </c>
      <c r="H9" s="10"/>
      <c r="I9" s="10"/>
      <c r="J9" s="10"/>
      <c r="K9" s="10"/>
      <c r="L9" s="10"/>
      <c r="M9" s="10"/>
      <c r="N9" s="10"/>
      <c r="O9" s="10"/>
      <c r="P9" s="10"/>
      <c r="Q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">
      <c r="A10" s="4"/>
      <c r="B10" s="4"/>
      <c r="C10" s="11">
        <f>Pessimistisch!C10</f>
        <v>2019</v>
      </c>
      <c r="D10" s="11">
        <f>Pessimistisch!D10</f>
        <v>2020</v>
      </c>
      <c r="E10" s="11">
        <f>Pessimistisch!E10</f>
        <v>2021</v>
      </c>
      <c r="F10" s="11">
        <f>Pessimistisch!F10</f>
        <v>2022</v>
      </c>
      <c r="G10" s="55">
        <f>Pessimistisch!G10</f>
        <v>2023</v>
      </c>
      <c r="H10" s="55">
        <f>Pessimistisch!H10</f>
        <v>2024</v>
      </c>
      <c r="I10" s="55">
        <f>Pessimistisch!I10</f>
        <v>2025</v>
      </c>
      <c r="J10" s="55">
        <f>Pessimistisch!J10</f>
        <v>2026</v>
      </c>
      <c r="K10" s="55">
        <f>Pessimistisch!K10</f>
        <v>2027</v>
      </c>
      <c r="L10" s="55">
        <f>Pessimistisch!L10</f>
        <v>2028</v>
      </c>
      <c r="M10" s="55">
        <f>Pessimistisch!M10</f>
        <v>2029</v>
      </c>
      <c r="N10" s="55">
        <f>Pessimistisch!N10</f>
        <v>2030</v>
      </c>
      <c r="O10" s="55">
        <f>Pessimistisch!O10</f>
        <v>2031</v>
      </c>
      <c r="P10" s="55">
        <f>Pessimistisch!P10</f>
        <v>2032</v>
      </c>
      <c r="Q10" s="55" t="str">
        <f>Pessimistisch!Q10</f>
        <v>2033ff.</v>
      </c>
    </row>
    <row r="11" spans="1:28" x14ac:dyDescent="0.2">
      <c r="A11" s="5"/>
      <c r="B11" s="4" t="s">
        <v>4</v>
      </c>
      <c r="C11" s="82">
        <f>Pessimistisch!C$11</f>
        <v>200.76198325657001</v>
      </c>
      <c r="D11" s="82">
        <f>Pessimistisch!D$11</f>
        <v>209.72582109944</v>
      </c>
      <c r="E11" s="82">
        <f>Pessimistisch!E$11</f>
        <v>227.10581764169001</v>
      </c>
      <c r="F11" s="82">
        <f>Pessimistisch!F$11</f>
        <v>243.51356367073001</v>
      </c>
      <c r="G11" s="72">
        <f>Pessimistisch!G11</f>
        <v>262.52499999999998</v>
      </c>
      <c r="H11" s="72">
        <f>Pessimistisch!H11</f>
        <v>282.96899999999999</v>
      </c>
      <c r="I11" s="72">
        <f>Pessimistisch!I11</f>
        <v>304.13400000000001</v>
      </c>
      <c r="J11" s="72">
        <f>I11*(1+J12)</f>
        <v>326.94405</v>
      </c>
      <c r="K11" s="72">
        <f>J11*(1+K12)</f>
        <v>351.46485374999997</v>
      </c>
      <c r="L11" s="72">
        <f t="shared" ref="L11:Q11" si="0">K11*(1+L12)</f>
        <v>376.06739351250002</v>
      </c>
      <c r="M11" s="72">
        <f t="shared" si="0"/>
        <v>402.39211105837506</v>
      </c>
      <c r="N11" s="72">
        <f t="shared" si="0"/>
        <v>428.54759827716941</v>
      </c>
      <c r="O11" s="72">
        <f t="shared" si="0"/>
        <v>454.26045417379959</v>
      </c>
      <c r="P11" s="72">
        <f t="shared" si="0"/>
        <v>479.24477915335854</v>
      </c>
      <c r="Q11" s="72">
        <f t="shared" si="0"/>
        <v>488.82967473642572</v>
      </c>
    </row>
    <row r="12" spans="1:28" x14ac:dyDescent="0.2">
      <c r="A12" s="5"/>
      <c r="B12" s="4" t="s">
        <v>1</v>
      </c>
      <c r="C12" s="86"/>
      <c r="D12" s="89">
        <f t="shared" ref="D12:I12" si="1">D11/C11-1</f>
        <v>4.4649079957605142E-2</v>
      </c>
      <c r="E12" s="89">
        <f t="shared" si="1"/>
        <v>8.2870084623530404E-2</v>
      </c>
      <c r="F12" s="89">
        <f t="shared" si="1"/>
        <v>7.2247140999826209E-2</v>
      </c>
      <c r="G12" s="85">
        <f t="shared" si="1"/>
        <v>7.8071365071789245E-2</v>
      </c>
      <c r="H12" s="85">
        <f t="shared" si="1"/>
        <v>7.7874488143986342E-2</v>
      </c>
      <c r="I12" s="85">
        <f t="shared" si="1"/>
        <v>7.4796179086755066E-2</v>
      </c>
      <c r="J12" s="85">
        <v>7.4999999999999997E-2</v>
      </c>
      <c r="K12" s="71">
        <v>7.4999999999999997E-2</v>
      </c>
      <c r="L12" s="71">
        <v>7.0000000000000007E-2</v>
      </c>
      <c r="M12" s="71">
        <v>7.0000000000000007E-2</v>
      </c>
      <c r="N12" s="71">
        <v>6.5000000000000002E-2</v>
      </c>
      <c r="O12" s="71">
        <v>0.06</v>
      </c>
      <c r="P12" s="71">
        <v>5.5E-2</v>
      </c>
      <c r="Q12" s="12">
        <v>0.02</v>
      </c>
    </row>
    <row r="13" spans="1:28" ht="16" customHeight="1" x14ac:dyDescent="0.2">
      <c r="A13" s="5"/>
      <c r="B13" s="4" t="s">
        <v>13</v>
      </c>
      <c r="C13" s="88">
        <f>C14/C11</f>
        <v>7.1999999999999995E-2</v>
      </c>
      <c r="D13" s="88">
        <f t="shared" ref="D13:F13" si="2">D14/D11</f>
        <v>6.4799999999999996E-2</v>
      </c>
      <c r="E13" s="88">
        <f t="shared" si="2"/>
        <v>6.9800000000000001E-2</v>
      </c>
      <c r="F13" s="88">
        <f t="shared" si="2"/>
        <v>7.0699999999999999E-2</v>
      </c>
      <c r="G13" s="84">
        <f>G14/G11</f>
        <v>7.5300000000000006E-2</v>
      </c>
      <c r="H13" s="84">
        <f t="shared" ref="H13:I13" si="3">H14/H11</f>
        <v>8.0399999999999999E-2</v>
      </c>
      <c r="I13" s="84">
        <f t="shared" si="3"/>
        <v>8.48E-2</v>
      </c>
      <c r="J13" s="84">
        <v>8.5000000000000006E-2</v>
      </c>
      <c r="K13" s="84">
        <v>8.5000000000000006E-2</v>
      </c>
      <c r="L13" s="84">
        <v>8.7499999999999994E-2</v>
      </c>
      <c r="M13" s="84">
        <v>8.7499999999999994E-2</v>
      </c>
      <c r="N13" s="84">
        <v>0.09</v>
      </c>
      <c r="O13" s="84">
        <v>9.2499999999999999E-2</v>
      </c>
      <c r="P13" s="84">
        <v>9.2499999999999999E-2</v>
      </c>
      <c r="Q13" s="84">
        <v>9.5000000000000001E-2</v>
      </c>
    </row>
    <row r="14" spans="1:28" ht="17.25" customHeight="1" x14ac:dyDescent="0.2">
      <c r="A14" s="5"/>
      <c r="B14" s="4" t="s">
        <v>14</v>
      </c>
      <c r="C14" s="82">
        <f>Pessimistisch!C14</f>
        <v>14.454862794473039</v>
      </c>
      <c r="D14" s="82">
        <f>Pessimistisch!D14</f>
        <v>13.590233207243712</v>
      </c>
      <c r="E14" s="82">
        <f>Pessimistisch!E14</f>
        <v>15.851986071389963</v>
      </c>
      <c r="F14" s="82">
        <f>Pessimistisch!F14</f>
        <v>17.216408951520613</v>
      </c>
      <c r="G14" s="72">
        <f>Pessimistisch!G14</f>
        <v>19.7681325</v>
      </c>
      <c r="H14" s="72">
        <f>Pessimistisch!H14</f>
        <v>22.750707599999998</v>
      </c>
      <c r="I14" s="72">
        <f>Pessimistisch!I14</f>
        <v>25.790563200000001</v>
      </c>
      <c r="J14" s="72">
        <f>J11*J13</f>
        <v>27.790244250000001</v>
      </c>
      <c r="K14" s="72">
        <f t="shared" ref="K14:Q14" si="4">K11*K13</f>
        <v>29.874512568749999</v>
      </c>
      <c r="L14" s="72">
        <f t="shared" si="4"/>
        <v>32.905896932343751</v>
      </c>
      <c r="M14" s="72">
        <f t="shared" si="4"/>
        <v>35.209309717607816</v>
      </c>
      <c r="N14" s="72">
        <f t="shared" si="4"/>
        <v>38.569283844945247</v>
      </c>
      <c r="O14" s="72">
        <f t="shared" si="4"/>
        <v>42.019092011076459</v>
      </c>
      <c r="P14" s="72">
        <f>P11*P13</f>
        <v>44.330142071685664</v>
      </c>
      <c r="Q14" s="72">
        <f t="shared" si="4"/>
        <v>46.43881909996044</v>
      </c>
    </row>
    <row r="15" spans="1:28" x14ac:dyDescent="0.2">
      <c r="A15" s="100">
        <v>0.15</v>
      </c>
      <c r="B15" s="4" t="s">
        <v>36</v>
      </c>
      <c r="C15" s="82">
        <f>Pessimistisch!C15</f>
        <v>8.2062471059599993</v>
      </c>
      <c r="D15" s="82">
        <f>Pessimistisch!D15</f>
        <v>8.8765932081900001</v>
      </c>
      <c r="E15" s="82">
        <f>Pessimistisch!E15</f>
        <v>13.0788405171</v>
      </c>
      <c r="F15" s="82">
        <f>Pessimistisch!F15</f>
        <v>14.71092349199</v>
      </c>
      <c r="G15" s="72">
        <f>Pessimistisch!G15</f>
        <v>16.512822499999999</v>
      </c>
      <c r="H15" s="72">
        <f>Pessimistisch!H15</f>
        <v>18.9023292</v>
      </c>
      <c r="I15" s="72">
        <f>Pessimistisch!I15</f>
        <v>21.380620200000003</v>
      </c>
      <c r="J15" s="72">
        <f>J14*(1-$A$15)</f>
        <v>23.6217076125</v>
      </c>
      <c r="K15" s="72">
        <f>K14*(1-$A$15)</f>
        <v>25.393335683437499</v>
      </c>
      <c r="L15" s="72">
        <f t="shared" ref="L15:Q15" si="5">L14*(1-$A$15)</f>
        <v>27.970012392492187</v>
      </c>
      <c r="M15" s="72">
        <f t="shared" si="5"/>
        <v>29.927913259966644</v>
      </c>
      <c r="N15" s="72">
        <f t="shared" si="5"/>
        <v>32.783891268203462</v>
      </c>
      <c r="O15" s="72">
        <f t="shared" si="5"/>
        <v>35.716228209414993</v>
      </c>
      <c r="P15" s="72">
        <f>P14*(1-$A$15)</f>
        <v>37.680620760932811</v>
      </c>
      <c r="Q15" s="72">
        <f t="shared" si="5"/>
        <v>39.472996234966374</v>
      </c>
    </row>
    <row r="16" spans="1:28" ht="35" hidden="1" thickBot="1" x14ac:dyDescent="0.25">
      <c r="A16" s="13" t="s">
        <v>5</v>
      </c>
      <c r="B16" s="14"/>
      <c r="C16" s="15">
        <f t="shared" ref="C16:J16" si="6">C15/C14</f>
        <v>0.56771532339260533</v>
      </c>
      <c r="D16" s="15">
        <f t="shared" si="6"/>
        <v>0.65315974147218459</v>
      </c>
      <c r="E16" s="15">
        <f t="shared" si="6"/>
        <v>0.82506005608376098</v>
      </c>
      <c r="F16" s="15">
        <f t="shared" si="6"/>
        <v>0.85447107659990151</v>
      </c>
      <c r="G16" s="15">
        <f t="shared" si="6"/>
        <v>0.83532536520584322</v>
      </c>
      <c r="H16" s="15">
        <f t="shared" si="6"/>
        <v>0.83084577114427871</v>
      </c>
      <c r="I16" s="15">
        <f t="shared" si="6"/>
        <v>0.82900943396226423</v>
      </c>
      <c r="J16" s="15">
        <f t="shared" si="6"/>
        <v>0.85</v>
      </c>
    </row>
    <row r="17" spans="1:18" ht="17" x14ac:dyDescent="0.2">
      <c r="A17" s="2" t="s">
        <v>33</v>
      </c>
      <c r="C17" s="82"/>
      <c r="D17" s="82"/>
      <c r="E17" s="82"/>
      <c r="F17" s="82"/>
      <c r="G17" s="72">
        <f>G15/G18</f>
        <v>2.6637310416545614</v>
      </c>
      <c r="H17" s="72">
        <f t="shared" ref="H17:P17" si="7">H15/H18</f>
        <v>3.0340191660065456</v>
      </c>
      <c r="I17" s="72">
        <f t="shared" si="7"/>
        <v>3.4147367972272962</v>
      </c>
      <c r="J17" s="72">
        <f t="shared" si="7"/>
        <v>3.7538953683877563</v>
      </c>
      <c r="K17" s="72">
        <f t="shared" si="7"/>
        <v>4.0153607174296893</v>
      </c>
      <c r="L17" s="72">
        <f t="shared" si="7"/>
        <v>4.4007977426907194</v>
      </c>
      <c r="M17" s="72">
        <f t="shared" si="7"/>
        <v>4.6854264524169862</v>
      </c>
      <c r="N17" s="72">
        <f t="shared" si="7"/>
        <v>5.1070149306515216</v>
      </c>
      <c r="O17" s="72">
        <f t="shared" si="7"/>
        <v>5.5361284018837127</v>
      </c>
      <c r="P17" s="72">
        <f t="shared" si="7"/>
        <v>5.8115576756092695</v>
      </c>
      <c r="Q17" s="72"/>
    </row>
    <row r="18" spans="1:18" ht="35" thickBot="1" x14ac:dyDescent="0.25">
      <c r="A18" s="2" t="s">
        <v>35</v>
      </c>
      <c r="C18" s="107">
        <v>1</v>
      </c>
      <c r="D18" s="82"/>
      <c r="E18" s="82"/>
      <c r="F18" s="82"/>
      <c r="G18" s="72">
        <f>C50</f>
        <v>6.1991328110000001</v>
      </c>
      <c r="H18" s="72">
        <f>G18*Pessimistisch!$C18</f>
        <v>6.2301284750549994</v>
      </c>
      <c r="I18" s="72">
        <f>H18*Pessimistisch!$C18</f>
        <v>6.2612791174302735</v>
      </c>
      <c r="J18" s="72">
        <f>I18*Pessimistisch!$C18</f>
        <v>6.292585513017424</v>
      </c>
      <c r="K18" s="72">
        <f>J18*Pessimistisch!$C18</f>
        <v>6.3240484405825104</v>
      </c>
      <c r="L18" s="72">
        <f>K18*Pessimistisch!$C18</f>
        <v>6.3556686827854225</v>
      </c>
      <c r="M18" s="72">
        <f>L18*Pessimistisch!$C18</f>
        <v>6.3874470261993492</v>
      </c>
      <c r="N18" s="72">
        <f>M18*Pessimistisch!$C18</f>
        <v>6.4193842613303449</v>
      </c>
      <c r="O18" s="72">
        <f>N18*Pessimistisch!$C18</f>
        <v>6.4514811826369955</v>
      </c>
      <c r="P18" s="72">
        <f>O18*Pessimistisch!$C18</f>
        <v>6.4837385885501799</v>
      </c>
      <c r="Q18" s="72"/>
    </row>
    <row r="19" spans="1:18" ht="17" thickBot="1" x14ac:dyDescent="0.25">
      <c r="A19" s="2"/>
      <c r="E19" s="51" t="s">
        <v>10</v>
      </c>
      <c r="F19" s="52"/>
      <c r="G19" s="53">
        <f>G15/(1+$C$59)</f>
        <v>15.343993774246751</v>
      </c>
      <c r="H19" s="53">
        <f>H15/(1+$C$59)^2</f>
        <v>16.321103713073903</v>
      </c>
      <c r="I19" s="53">
        <f>I15/(1+$C$59)^3</f>
        <v>17.154244742421504</v>
      </c>
      <c r="J19" s="53">
        <f>J15/(1+$C$59)^4</f>
        <v>17.610824680832991</v>
      </c>
      <c r="K19" s="53">
        <f>K15/(1+$C$59)^5</f>
        <v>17.59159665658045</v>
      </c>
      <c r="L19" s="53">
        <f>L15/(1+$C$59)^6</f>
        <v>18.005088686618532</v>
      </c>
      <c r="M19" s="53">
        <f>M15/(1+$C$59)^7</f>
        <v>17.901777029462522</v>
      </c>
      <c r="N19" s="53">
        <f>N15/(1+$C$59)^8</f>
        <v>18.222053139514429</v>
      </c>
      <c r="O19" s="53">
        <f>O15/(1+$C$59)^9</f>
        <v>18.446734554524536</v>
      </c>
      <c r="P19" s="53">
        <f>P15/(1+$C$59)^10</f>
        <v>18.083773508047834</v>
      </c>
      <c r="Q19" s="54">
        <f>(Q15/(C59-Q12))/(1+C59)^10</f>
        <v>337.23141301768561</v>
      </c>
    </row>
    <row r="20" spans="1:18" x14ac:dyDescent="0.2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x14ac:dyDescent="0.2">
      <c r="A21" s="2"/>
      <c r="J21" s="101"/>
      <c r="K21" s="101"/>
      <c r="L21" s="101"/>
      <c r="M21" s="101"/>
      <c r="N21" s="101"/>
      <c r="O21" s="101"/>
      <c r="P21" s="101"/>
      <c r="Q21" s="101"/>
      <c r="R21" s="3"/>
    </row>
    <row r="22" spans="1:18" ht="17" thickBot="1" x14ac:dyDescent="0.25">
      <c r="P22" s="3"/>
      <c r="Q22" s="3"/>
      <c r="R22" s="3"/>
    </row>
    <row r="23" spans="1:18" x14ac:dyDescent="0.2">
      <c r="A23" s="32" t="s">
        <v>22</v>
      </c>
      <c r="B23" s="33"/>
      <c r="C23" s="33"/>
      <c r="D23" s="34"/>
      <c r="E23" s="23"/>
      <c r="F23" s="33"/>
      <c r="G23" s="90" t="s">
        <v>23</v>
      </c>
      <c r="H23" s="91"/>
      <c r="I23" s="92">
        <v>3.7499999999999999E-2</v>
      </c>
      <c r="J23" s="24" t="s">
        <v>24</v>
      </c>
    </row>
    <row r="24" spans="1:18" x14ac:dyDescent="0.2">
      <c r="A24" s="35"/>
      <c r="B24" s="36"/>
      <c r="C24" s="36"/>
      <c r="D24" s="37"/>
      <c r="E24" s="36"/>
      <c r="F24" s="36"/>
      <c r="G24" s="93"/>
      <c r="H24" s="6"/>
      <c r="I24" s="94"/>
      <c r="J24" s="26"/>
    </row>
    <row r="25" spans="1:18" x14ac:dyDescent="0.2">
      <c r="A25" s="35"/>
      <c r="B25" s="36"/>
      <c r="C25" s="36"/>
      <c r="D25" s="38"/>
      <c r="F25" s="36"/>
      <c r="G25" s="93" t="s">
        <v>25</v>
      </c>
      <c r="H25" s="6"/>
      <c r="I25" s="95">
        <f>(I27-I23)*I29</f>
        <v>3.8675000000000008E-2</v>
      </c>
      <c r="J25" s="26"/>
    </row>
    <row r="26" spans="1:18" x14ac:dyDescent="0.2">
      <c r="A26" s="35"/>
      <c r="B26" s="36"/>
      <c r="C26" s="36"/>
      <c r="D26" s="38"/>
      <c r="F26" s="36"/>
      <c r="G26" s="93"/>
      <c r="H26" s="6"/>
      <c r="I26" s="94"/>
      <c r="J26" s="26"/>
    </row>
    <row r="27" spans="1:18" x14ac:dyDescent="0.2">
      <c r="A27" s="35"/>
      <c r="B27" s="36"/>
      <c r="C27" s="36"/>
      <c r="D27" s="38"/>
      <c r="F27" s="36"/>
      <c r="G27" s="93" t="s">
        <v>26</v>
      </c>
      <c r="H27" s="6"/>
      <c r="I27" s="96">
        <v>7.0000000000000007E-2</v>
      </c>
      <c r="J27" s="26" t="s">
        <v>27</v>
      </c>
    </row>
    <row r="28" spans="1:18" x14ac:dyDescent="0.2">
      <c r="A28" s="35"/>
      <c r="B28" s="36"/>
      <c r="C28" s="36"/>
      <c r="D28" s="39"/>
      <c r="F28" s="36"/>
      <c r="G28" s="93"/>
      <c r="H28" s="6"/>
      <c r="I28" s="94"/>
      <c r="J28" s="26"/>
    </row>
    <row r="29" spans="1:18" x14ac:dyDescent="0.2">
      <c r="A29" s="35"/>
      <c r="B29" s="36"/>
      <c r="C29" s="36"/>
      <c r="D29" s="39"/>
      <c r="F29" s="36"/>
      <c r="G29" s="93" t="s">
        <v>32</v>
      </c>
      <c r="H29" s="6"/>
      <c r="I29" s="79">
        <v>1.19</v>
      </c>
      <c r="J29" s="26" t="s">
        <v>28</v>
      </c>
    </row>
    <row r="30" spans="1:18" x14ac:dyDescent="0.2">
      <c r="A30" s="35"/>
      <c r="B30" s="36"/>
      <c r="C30" s="36"/>
      <c r="D30" s="40"/>
      <c r="F30" s="36"/>
      <c r="G30" s="93"/>
      <c r="H30" s="6"/>
      <c r="I30" s="94"/>
      <c r="J30" s="26"/>
    </row>
    <row r="31" spans="1:18" x14ac:dyDescent="0.2">
      <c r="A31" s="35"/>
      <c r="B31" s="36"/>
      <c r="C31" s="36"/>
      <c r="D31" s="37"/>
      <c r="F31" s="36"/>
      <c r="G31" s="93" t="s">
        <v>29</v>
      </c>
      <c r="H31" s="6"/>
      <c r="I31" s="96">
        <f>I23+(I27-I23)*I29</f>
        <v>7.6175000000000007E-2</v>
      </c>
      <c r="J31" s="26" t="s">
        <v>30</v>
      </c>
    </row>
    <row r="32" spans="1:18" x14ac:dyDescent="0.2">
      <c r="A32" s="25"/>
      <c r="C32" s="41"/>
      <c r="E32" s="36"/>
      <c r="F32" s="36"/>
      <c r="G32" s="93"/>
      <c r="H32" s="6"/>
      <c r="I32" s="6"/>
      <c r="J32" s="26"/>
    </row>
    <row r="33" spans="1:10" x14ac:dyDescent="0.2">
      <c r="A33" s="25"/>
      <c r="G33" s="97" t="s">
        <v>31</v>
      </c>
      <c r="H33" s="98"/>
      <c r="I33" s="99">
        <f>I31</f>
        <v>7.6175000000000007E-2</v>
      </c>
      <c r="J33" s="26"/>
    </row>
    <row r="34" spans="1:10" x14ac:dyDescent="0.2">
      <c r="A34" s="35" t="s">
        <v>6</v>
      </c>
      <c r="B34" s="36"/>
      <c r="C34" s="42"/>
      <c r="D34" s="27"/>
      <c r="G34" s="93"/>
      <c r="H34" s="6"/>
      <c r="I34" s="6"/>
      <c r="J34" s="26"/>
    </row>
    <row r="35" spans="1:10" ht="11" hidden="1" customHeight="1" x14ac:dyDescent="0.2">
      <c r="A35" s="25"/>
      <c r="G35" s="25"/>
      <c r="J35" s="26"/>
    </row>
    <row r="36" spans="1:10" ht="11" hidden="1" customHeight="1" x14ac:dyDescent="0.2">
      <c r="A36" s="25"/>
      <c r="B36" s="1" t="s">
        <v>7</v>
      </c>
      <c r="D36" s="43">
        <v>0.08</v>
      </c>
      <c r="G36" s="25"/>
      <c r="J36" s="26"/>
    </row>
    <row r="37" spans="1:10" ht="11" hidden="1" customHeight="1" x14ac:dyDescent="0.2">
      <c r="A37" s="25"/>
      <c r="G37" s="25"/>
      <c r="J37" s="26"/>
    </row>
    <row r="38" spans="1:10" ht="11" hidden="1" customHeight="1" x14ac:dyDescent="0.2">
      <c r="A38" s="25"/>
      <c r="G38" s="25"/>
      <c r="J38" s="26"/>
    </row>
    <row r="39" spans="1:10" ht="11" hidden="1" customHeight="1" x14ac:dyDescent="0.2">
      <c r="A39" s="25"/>
      <c r="G39" s="25"/>
      <c r="J39" s="26"/>
    </row>
    <row r="40" spans="1:10" ht="11" hidden="1" x14ac:dyDescent="0.2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t="11" hidden="1" x14ac:dyDescent="0.2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t="11" hidden="1" x14ac:dyDescent="0.2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t="11" hidden="1" x14ac:dyDescent="0.2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t="11" hidden="1" x14ac:dyDescent="0.2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">
      <c r="A45" s="25"/>
      <c r="G45" s="25"/>
      <c r="J45" s="26"/>
    </row>
    <row r="46" spans="1:10" ht="17" thickBot="1" x14ac:dyDescent="0.25">
      <c r="A46" s="28"/>
      <c r="B46" s="29" t="s">
        <v>18</v>
      </c>
      <c r="C46" s="29"/>
      <c r="D46" s="44">
        <f>I33</f>
        <v>7.6175000000000007E-2</v>
      </c>
      <c r="E46" s="29"/>
      <c r="F46" s="29"/>
      <c r="G46" s="28"/>
      <c r="H46" s="29"/>
      <c r="I46" s="29"/>
      <c r="J46" s="30"/>
    </row>
    <row r="47" spans="1:10" x14ac:dyDescent="0.2"/>
    <row r="48" spans="1:10" x14ac:dyDescent="0.2">
      <c r="A48" s="16"/>
      <c r="B48" s="17"/>
      <c r="C48" s="83">
        <f>Pessimistisch!C48</f>
        <v>45177</v>
      </c>
      <c r="D48" s="18" t="s">
        <v>3</v>
      </c>
      <c r="E48" s="19"/>
      <c r="F48" s="20"/>
      <c r="G48" s="21"/>
      <c r="H48" s="21"/>
      <c r="I48" s="21"/>
    </row>
    <row r="49" spans="1:17" ht="17" x14ac:dyDescent="0.2">
      <c r="A49" s="45" t="s">
        <v>0</v>
      </c>
      <c r="B49" s="46" t="str">
        <f>Pessimistisch!B49</f>
        <v>Marktkapitalisierung, Mrd.</v>
      </c>
      <c r="C49" s="87">
        <f>Pessimistisch!C49</f>
        <v>214.30072268197003</v>
      </c>
      <c r="D49" s="47">
        <f>SUM(G19:Q19)</f>
        <v>511.91260350300911</v>
      </c>
      <c r="E49" s="46"/>
    </row>
    <row r="50" spans="1:17" x14ac:dyDescent="0.2">
      <c r="A50" s="45"/>
      <c r="B50" s="46" t="str">
        <f>Pessimistisch!B50</f>
        <v>Anzahl A-Aktien gesamt, Mrd.</v>
      </c>
      <c r="C50" s="87">
        <f>Pessimistisch!C50</f>
        <v>6.1991328110000001</v>
      </c>
      <c r="D50" s="56">
        <f>C50+C52+C54</f>
        <v>9.3286950500000003</v>
      </c>
      <c r="E50" s="46" t="str">
        <f>Pessimistisch!E50</f>
        <v>(A+H+D)</v>
      </c>
    </row>
    <row r="51" spans="1:17" x14ac:dyDescent="0.2">
      <c r="A51" s="45"/>
      <c r="B51" s="46" t="str">
        <f>Pessimistisch!B51</f>
        <v xml:space="preserve">Kurs pro Aktie </v>
      </c>
      <c r="C51" s="87">
        <f>Pessimistisch!C51</f>
        <v>23.6</v>
      </c>
      <c r="D51" s="56">
        <f>D49/(D50)</f>
        <v>54.875049592601819</v>
      </c>
      <c r="E51" s="46"/>
    </row>
    <row r="52" spans="1:17" x14ac:dyDescent="0.2">
      <c r="A52" s="45"/>
      <c r="B52" s="46" t="str">
        <f>Pessimistisch!B52</f>
        <v>Anzahl H-Aktien gesamt, Mrd.</v>
      </c>
      <c r="C52" s="87">
        <f>Pessimistisch!C52</f>
        <v>2.8585482660000001</v>
      </c>
      <c r="D52" s="108" t="s">
        <v>46</v>
      </c>
      <c r="E52" s="46"/>
    </row>
    <row r="53" spans="1:17" x14ac:dyDescent="0.2">
      <c r="A53" s="45"/>
      <c r="B53" s="46" t="str">
        <f>Pessimistisch!B53</f>
        <v>Kurs pro H-Aktie</v>
      </c>
      <c r="C53" s="87">
        <f>Pessimistisch!C53</f>
        <v>22.98</v>
      </c>
      <c r="D53" s="108" t="s">
        <v>46</v>
      </c>
      <c r="E53" s="46"/>
    </row>
    <row r="54" spans="1:17" x14ac:dyDescent="0.2">
      <c r="A54" s="45"/>
      <c r="B54" s="46" t="str">
        <f>Pessimistisch!B54</f>
        <v>Anzahl D-Aktien gesamt, Mrd.</v>
      </c>
      <c r="C54" s="87">
        <f>Pessimistisch!C54</f>
        <v>0.27101397300000002</v>
      </c>
      <c r="D54" s="108" t="s">
        <v>46</v>
      </c>
      <c r="E54" s="46"/>
    </row>
    <row r="55" spans="1:17" x14ac:dyDescent="0.2">
      <c r="A55" s="45"/>
      <c r="B55" s="46" t="str">
        <f>Pessimistisch!B55</f>
        <v>Kurs pro D-Aktie</v>
      </c>
      <c r="C55" s="87">
        <f>Pessimistisch!C55</f>
        <v>8.5299999999999994</v>
      </c>
      <c r="D55" s="108" t="s">
        <v>46</v>
      </c>
      <c r="E55" s="46"/>
    </row>
    <row r="56" spans="1:17" x14ac:dyDescent="0.2">
      <c r="A56" s="45"/>
      <c r="B56" s="46" t="str">
        <f>Pessimistisch!B56</f>
        <v>Unterbewertung</v>
      </c>
      <c r="C56" s="46"/>
      <c r="D56" s="57">
        <f>IF(C49/D49-1&gt;0,0,C49/D49-1)*-1</f>
        <v>0.58137244284373168</v>
      </c>
      <c r="E56" s="46"/>
    </row>
    <row r="57" spans="1:17" x14ac:dyDescent="0.2">
      <c r="A57" s="45"/>
      <c r="B57" s="46" t="str">
        <f>Pessimistisch!B57</f>
        <v>Überbewertung</v>
      </c>
      <c r="C57" s="46"/>
      <c r="D57" s="58">
        <f>IF(C49/D49-1&lt;0,0,C49/D49-1)</f>
        <v>0</v>
      </c>
      <c r="E57" s="46"/>
    </row>
    <row r="58" spans="1:17" x14ac:dyDescent="0.2">
      <c r="A58" s="46"/>
      <c r="B58" s="46"/>
      <c r="C58" s="46"/>
      <c r="D58" s="48"/>
      <c r="E58" s="48"/>
    </row>
    <row r="59" spans="1:17" x14ac:dyDescent="0.2">
      <c r="A59" s="48" t="s">
        <v>17</v>
      </c>
      <c r="B59" s="46"/>
      <c r="C59" s="50">
        <f>D46</f>
        <v>7.6175000000000007E-2</v>
      </c>
      <c r="D59" s="49"/>
      <c r="E59" s="46"/>
      <c r="J59" s="70"/>
    </row>
    <row r="60" spans="1:17" x14ac:dyDescent="0.2">
      <c r="A60" s="48"/>
      <c r="B60" s="46"/>
      <c r="C60" s="50"/>
      <c r="D60" s="49"/>
      <c r="E60" s="46"/>
    </row>
    <row r="61" spans="1:17" hidden="1" x14ac:dyDescent="0.2">
      <c r="A61" s="48" t="s">
        <v>20</v>
      </c>
      <c r="B61" s="73">
        <v>0.108</v>
      </c>
      <c r="C61" s="50"/>
      <c r="D61" s="74">
        <f>SUM(H61:Q61)*1000</f>
        <v>296085.25987919641</v>
      </c>
      <c r="E61" s="46"/>
      <c r="F61" s="1" t="s">
        <v>21</v>
      </c>
      <c r="H61" s="1">
        <f>G15/(1+$B$61)</f>
        <v>14.903269404332127</v>
      </c>
      <c r="I61" s="1">
        <f>H15/(1+$B$61)^2</f>
        <v>15.396989078444912</v>
      </c>
      <c r="J61" s="1">
        <f>I15/(1+$B$61)^3</f>
        <v>15.718135115274897</v>
      </c>
      <c r="K61" s="1">
        <f>J15/(1+$B$61)^4</f>
        <v>15.673004127931694</v>
      </c>
      <c r="L61" s="1">
        <f>K15/(1+$B$61)^5</f>
        <v>15.206208878634088</v>
      </c>
      <c r="M61" s="1">
        <f>L15/(1+$B$61)^6</f>
        <v>15.116599132109963</v>
      </c>
      <c r="N61" s="1">
        <f>M15/(1+$B$61)^7</f>
        <v>14.598159811694641</v>
      </c>
      <c r="O61" s="1">
        <f>N15/(1+$B$61)^8</f>
        <v>14.432528292428374</v>
      </c>
      <c r="P61" s="1">
        <f>O15/(1+$B$61)^9</f>
        <v>14.190828309994002</v>
      </c>
      <c r="Q61" s="1">
        <f>(Q15/(B61-Q12))/(1+B61)^10</f>
        <v>160.84953772835172</v>
      </c>
    </row>
    <row r="62" spans="1:17" ht="17" thickBot="1" x14ac:dyDescent="0.25">
      <c r="A62" s="22"/>
      <c r="C62" s="65"/>
      <c r="D62" s="66"/>
    </row>
    <row r="63" spans="1:17" x14ac:dyDescent="0.2">
      <c r="A63" s="59" t="str">
        <f>"KGV Multiple in "&amp;P10</f>
        <v>KGV Multiple in 2032</v>
      </c>
      <c r="B63" s="23"/>
      <c r="C63" s="67">
        <v>15</v>
      </c>
      <c r="D63" s="23"/>
      <c r="E63" s="24"/>
    </row>
    <row r="64" spans="1:17" x14ac:dyDescent="0.2">
      <c r="A64" s="25" t="s">
        <v>19</v>
      </c>
      <c r="C64" s="68"/>
      <c r="E64" s="26"/>
    </row>
    <row r="65" spans="1:5" x14ac:dyDescent="0.2">
      <c r="A65" s="25"/>
      <c r="C65" s="68"/>
      <c r="E65" s="26"/>
    </row>
    <row r="66" spans="1:5" x14ac:dyDescent="0.2">
      <c r="A66" s="25" t="s">
        <v>34</v>
      </c>
      <c r="C66" s="68"/>
      <c r="E66" s="60">
        <f>P17*C63</f>
        <v>87.173365134139047</v>
      </c>
    </row>
    <row r="67" spans="1:5" x14ac:dyDescent="0.2">
      <c r="A67" s="25"/>
      <c r="C67" s="68"/>
      <c r="E67" s="26"/>
    </row>
    <row r="68" spans="1:5" x14ac:dyDescent="0.2">
      <c r="A68" s="25" t="s">
        <v>15</v>
      </c>
      <c r="C68" s="69">
        <v>0.35</v>
      </c>
      <c r="E68" s="26"/>
    </row>
    <row r="69" spans="1:5" x14ac:dyDescent="0.2">
      <c r="A69" s="25"/>
      <c r="E69" s="26"/>
    </row>
    <row r="70" spans="1:5" x14ac:dyDescent="0.2">
      <c r="A70" s="25" t="s">
        <v>16</v>
      </c>
      <c r="E70" s="60">
        <f>SUM(G17:Q17)*C68</f>
        <v>14.847933902885323</v>
      </c>
    </row>
    <row r="71" spans="1:5" x14ac:dyDescent="0.2">
      <c r="A71" s="25"/>
      <c r="E71" s="61"/>
    </row>
    <row r="72" spans="1:5" x14ac:dyDescent="0.2">
      <c r="A72" s="102" t="s">
        <v>37</v>
      </c>
      <c r="E72" s="103">
        <f>(E70*0.1)*-1</f>
        <v>-1.4847933902885324</v>
      </c>
    </row>
    <row r="73" spans="1:5" x14ac:dyDescent="0.2">
      <c r="A73" s="25"/>
      <c r="C73" s="41"/>
      <c r="D73" s="41"/>
      <c r="E73" s="62"/>
    </row>
    <row r="74" spans="1:5" x14ac:dyDescent="0.2">
      <c r="A74" s="25" t="str">
        <f>"Gesamtwert "&amp;P10</f>
        <v>Gesamtwert 2032</v>
      </c>
      <c r="E74" s="60">
        <f>SUM(E66:E72)</f>
        <v>100.53650564673583</v>
      </c>
    </row>
    <row r="75" spans="1:5" x14ac:dyDescent="0.2">
      <c r="A75" s="25"/>
      <c r="E75" s="60"/>
    </row>
    <row r="76" spans="1:5" x14ac:dyDescent="0.2">
      <c r="A76" s="25" t="str">
        <f>"Steigerung Gesamt bis "&amp;P10&amp;" in Prozent"</f>
        <v>Steigerung Gesamt bis 2032 in Prozent</v>
      </c>
      <c r="E76" s="62">
        <f>E74/C51-1</f>
        <v>3.2600214257091453</v>
      </c>
    </row>
    <row r="77" spans="1:5" x14ac:dyDescent="0.2">
      <c r="A77" s="25"/>
      <c r="E77" s="26"/>
    </row>
    <row r="78" spans="1:5" ht="17" thickBot="1" x14ac:dyDescent="0.25">
      <c r="A78" s="63" t="str">
        <f>"Renditeerwartung bis "&amp;P10&amp;" pro Jahr"</f>
        <v>Renditeerwartung bis 2032 pro Jahr</v>
      </c>
      <c r="B78" s="64"/>
      <c r="C78" s="64"/>
      <c r="D78" s="64"/>
      <c r="E78" s="104">
        <f>(E74/C51)^(1/10)-1</f>
        <v>0.15595566677922457</v>
      </c>
    </row>
    <row r="79" spans="1:5" x14ac:dyDescent="0.2"/>
  </sheetData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conditionalFormatting sqref="G6:J8">
    <cfRule type="top10" dxfId="7" priority="5" percent="1" rank="10"/>
  </conditionalFormatting>
  <conditionalFormatting sqref="K9">
    <cfRule type="top10" dxfId="6" priority="4" percent="1" rank="10"/>
  </conditionalFormatting>
  <conditionalFormatting sqref="L2:L5">
    <cfRule type="top10" dxfId="5" priority="3" percent="1" rank="10"/>
  </conditionalFormatting>
  <conditionalFormatting sqref="L6:L8">
    <cfRule type="top10" dxfId="4" priority="6" percent="1" rank="10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52E19-683E-48EC-9C64-69D5A2053526}">
  <dimension ref="A1:AB79"/>
  <sheetViews>
    <sheetView zoomScaleNormal="100" workbookViewId="0"/>
  </sheetViews>
  <sheetFormatPr baseColWidth="10" defaultColWidth="0" defaultRowHeight="16" zeroHeight="1" x14ac:dyDescent="0.2"/>
  <cols>
    <col min="1" max="1" width="27" style="1" bestFit="1" customWidth="1"/>
    <col min="2" max="2" width="32.33203125" style="1" customWidth="1"/>
    <col min="3" max="17" width="16.1640625" style="1" customWidth="1"/>
    <col min="18" max="18" width="10.5" style="1" customWidth="1"/>
    <col min="19" max="28" width="0" style="1" hidden="1" customWidth="1"/>
    <col min="29" max="16384" width="10.5" style="1" hidden="1"/>
  </cols>
  <sheetData>
    <row r="1" spans="1:28" x14ac:dyDescent="0.2"/>
    <row r="2" spans="1:28" ht="26" x14ac:dyDescent="0.3">
      <c r="B2" s="31" t="s">
        <v>9</v>
      </c>
    </row>
    <row r="3" spans="1:28" x14ac:dyDescent="0.2"/>
    <row r="4" spans="1:28" x14ac:dyDescent="0.2">
      <c r="B4" s="22" t="str">
        <f>Pessimistisch!B4</f>
        <v>Annahmen für Haier Smart Home</v>
      </c>
    </row>
    <row r="5" spans="1:28" x14ac:dyDescent="0.2"/>
    <row r="6" spans="1:28" x14ac:dyDescent="0.2">
      <c r="B6" s="1" t="str">
        <f>Pessimistisch!B6</f>
        <v>Alle Angaben in Mrd.</v>
      </c>
    </row>
    <row r="7" spans="1:28" x14ac:dyDescent="0.2"/>
    <row r="8" spans="1:28" x14ac:dyDescent="0.2"/>
    <row r="9" spans="1:28" s="8" customFormat="1" x14ac:dyDescent="0.2">
      <c r="G9" s="9" t="s">
        <v>8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">
      <c r="A10" s="4"/>
      <c r="B10" s="4"/>
      <c r="C10" s="11">
        <f>Pessimistisch!C10</f>
        <v>2019</v>
      </c>
      <c r="D10" s="11">
        <f>Pessimistisch!D10</f>
        <v>2020</v>
      </c>
      <c r="E10" s="11">
        <f>Pessimistisch!E10</f>
        <v>2021</v>
      </c>
      <c r="F10" s="11">
        <f>Pessimistisch!F10</f>
        <v>2022</v>
      </c>
      <c r="G10" s="55">
        <f>Pessimistisch!G10</f>
        <v>2023</v>
      </c>
      <c r="H10" s="55">
        <f>Pessimistisch!H10</f>
        <v>2024</v>
      </c>
      <c r="I10" s="55">
        <f>Pessimistisch!I10</f>
        <v>2025</v>
      </c>
      <c r="J10" s="55">
        <f>Pessimistisch!J10</f>
        <v>2026</v>
      </c>
      <c r="K10" s="55">
        <f>Pessimistisch!K10</f>
        <v>2027</v>
      </c>
      <c r="L10" s="55">
        <f>Pessimistisch!L10</f>
        <v>2028</v>
      </c>
      <c r="M10" s="55">
        <f>Pessimistisch!M10</f>
        <v>2029</v>
      </c>
      <c r="N10" s="55">
        <f>Pessimistisch!N10</f>
        <v>2030</v>
      </c>
      <c r="O10" s="55">
        <f>Pessimistisch!O10</f>
        <v>2031</v>
      </c>
      <c r="P10" s="55">
        <f>Pessimistisch!P10</f>
        <v>2032</v>
      </c>
      <c r="Q10" s="55" t="str">
        <f>Pessimistisch!Q10</f>
        <v>2033ff.</v>
      </c>
    </row>
    <row r="11" spans="1:28" x14ac:dyDescent="0.2">
      <c r="A11" s="5"/>
      <c r="B11" s="4" t="s">
        <v>4</v>
      </c>
      <c r="C11" s="82">
        <f>Pessimistisch!C11</f>
        <v>200.76198325657001</v>
      </c>
      <c r="D11" s="82">
        <f>Pessimistisch!D11</f>
        <v>209.72582109944</v>
      </c>
      <c r="E11" s="82">
        <f>Pessimistisch!E11</f>
        <v>227.10581764169001</v>
      </c>
      <c r="F11" s="82">
        <f>Pessimistisch!F11</f>
        <v>243.51356367073001</v>
      </c>
      <c r="G11" s="72">
        <f>F11*(1+G12)</f>
        <v>246.43572643477876</v>
      </c>
      <c r="H11" s="72">
        <f t="shared" ref="H11:J11" si="0">G11*(1+H12)</f>
        <v>249.39295515199612</v>
      </c>
      <c r="I11" s="72">
        <f t="shared" si="0"/>
        <v>252.38567061382008</v>
      </c>
      <c r="J11" s="72">
        <f t="shared" si="0"/>
        <v>255.41429866118594</v>
      </c>
      <c r="K11" s="72">
        <f>J11*(1+K12)</f>
        <v>258.47927024512018</v>
      </c>
      <c r="L11" s="72">
        <f t="shared" ref="L11:Q11" si="1">K11*(1+L12)</f>
        <v>261.58102148806159</v>
      </c>
      <c r="M11" s="72">
        <f t="shared" si="1"/>
        <v>264.71999374591832</v>
      </c>
      <c r="N11" s="72">
        <f t="shared" si="1"/>
        <v>267.89663367086933</v>
      </c>
      <c r="O11" s="72">
        <f t="shared" si="1"/>
        <v>271.11139327491975</v>
      </c>
      <c r="P11" s="72">
        <f t="shared" si="1"/>
        <v>274.36472999421881</v>
      </c>
      <c r="Q11" s="72">
        <f t="shared" si="1"/>
        <v>277.65710675414942</v>
      </c>
    </row>
    <row r="12" spans="1:28" x14ac:dyDescent="0.2">
      <c r="A12" s="5"/>
      <c r="B12" s="4" t="s">
        <v>1</v>
      </c>
      <c r="C12" s="86"/>
      <c r="D12" s="89">
        <f>D11/C11-1</f>
        <v>4.4649079957605142E-2</v>
      </c>
      <c r="E12" s="89">
        <f>E11/D11-1</f>
        <v>8.2870084623530404E-2</v>
      </c>
      <c r="F12" s="89">
        <f>F11/E11-1</f>
        <v>7.2247140999826209E-2</v>
      </c>
      <c r="G12" s="85">
        <v>1.2E-2</v>
      </c>
      <c r="H12" s="85">
        <f>G12</f>
        <v>1.2E-2</v>
      </c>
      <c r="I12" s="85">
        <f t="shared" ref="I12:O12" si="2">H12</f>
        <v>1.2E-2</v>
      </c>
      <c r="J12" s="85">
        <f t="shared" si="2"/>
        <v>1.2E-2</v>
      </c>
      <c r="K12" s="85">
        <f t="shared" si="2"/>
        <v>1.2E-2</v>
      </c>
      <c r="L12" s="85">
        <f t="shared" si="2"/>
        <v>1.2E-2</v>
      </c>
      <c r="M12" s="85">
        <f t="shared" si="2"/>
        <v>1.2E-2</v>
      </c>
      <c r="N12" s="85">
        <f t="shared" si="2"/>
        <v>1.2E-2</v>
      </c>
      <c r="O12" s="85">
        <f t="shared" si="2"/>
        <v>1.2E-2</v>
      </c>
      <c r="P12" s="85">
        <v>1.2E-2</v>
      </c>
      <c r="Q12" s="85">
        <v>1.2E-2</v>
      </c>
    </row>
    <row r="13" spans="1:28" ht="16" customHeight="1" x14ac:dyDescent="0.2">
      <c r="A13" s="5"/>
      <c r="B13" s="4" t="s">
        <v>13</v>
      </c>
      <c r="C13" s="88">
        <f>C14/C11</f>
        <v>7.1999999999999995E-2</v>
      </c>
      <c r="D13" s="88">
        <f t="shared" ref="D13:F13" si="3">D14/D11</f>
        <v>6.4799999999999996E-2</v>
      </c>
      <c r="E13" s="88">
        <f t="shared" si="3"/>
        <v>6.9800000000000001E-2</v>
      </c>
      <c r="F13" s="88">
        <f t="shared" si="3"/>
        <v>7.0699999999999999E-2</v>
      </c>
      <c r="G13" s="84">
        <f>Pessimistisch!G13</f>
        <v>7.5300000000000006E-2</v>
      </c>
      <c r="H13" s="84">
        <f>Pessimistisch!H13</f>
        <v>8.0399999999999999E-2</v>
      </c>
      <c r="I13" s="84">
        <f>Pessimistisch!I13</f>
        <v>8.48E-2</v>
      </c>
      <c r="J13" s="84">
        <f>Pessimistisch!J13</f>
        <v>8.5000000000000006E-2</v>
      </c>
      <c r="K13" s="84">
        <f>Pessimistisch!K13</f>
        <v>0.08</v>
      </c>
      <c r="L13" s="84">
        <f>Pessimistisch!L13</f>
        <v>7.4999999999999997E-2</v>
      </c>
      <c r="M13" s="84">
        <f>Pessimistisch!M13</f>
        <v>7.0000000000000007E-2</v>
      </c>
      <c r="N13" s="84">
        <f>Pessimistisch!N13</f>
        <v>6.5000000000000002E-2</v>
      </c>
      <c r="O13" s="84">
        <f>Pessimistisch!O13</f>
        <v>6.5000000000000002E-2</v>
      </c>
      <c r="P13" s="84">
        <f>Pessimistisch!P13</f>
        <v>0.06</v>
      </c>
      <c r="Q13" s="84">
        <f>Pessimistisch!Q13</f>
        <v>0.06</v>
      </c>
    </row>
    <row r="14" spans="1:28" ht="17.25" customHeight="1" x14ac:dyDescent="0.2">
      <c r="A14" s="5"/>
      <c r="B14" s="4" t="s">
        <v>14</v>
      </c>
      <c r="C14" s="82">
        <f>Pessimistisch!C14</f>
        <v>14.454862794473039</v>
      </c>
      <c r="D14" s="82">
        <f>Pessimistisch!D14</f>
        <v>13.590233207243712</v>
      </c>
      <c r="E14" s="82">
        <f>Pessimistisch!E14</f>
        <v>15.851986071389963</v>
      </c>
      <c r="F14" s="82">
        <f>Pessimistisch!F14</f>
        <v>17.216408951520613</v>
      </c>
      <c r="G14" s="72">
        <f t="shared" ref="G14:J14" si="4">G11*G13</f>
        <v>18.556610200538842</v>
      </c>
      <c r="H14" s="72">
        <f t="shared" si="4"/>
        <v>20.051193594220489</v>
      </c>
      <c r="I14" s="72">
        <f t="shared" si="4"/>
        <v>21.402304868051942</v>
      </c>
      <c r="J14" s="72">
        <f t="shared" si="4"/>
        <v>21.710215386200808</v>
      </c>
      <c r="K14" s="72">
        <f t="shared" ref="K14:Q14" si="5">K11*K13</f>
        <v>20.678341619609615</v>
      </c>
      <c r="L14" s="72">
        <f t="shared" si="5"/>
        <v>19.61857661160462</v>
      </c>
      <c r="M14" s="72">
        <f t="shared" si="5"/>
        <v>18.530399562214285</v>
      </c>
      <c r="N14" s="72">
        <f t="shared" si="5"/>
        <v>17.413281188606508</v>
      </c>
      <c r="O14" s="72">
        <f>O11*O13</f>
        <v>17.622240562869784</v>
      </c>
      <c r="P14" s="72">
        <f t="shared" si="5"/>
        <v>16.461883799653126</v>
      </c>
      <c r="Q14" s="72">
        <f t="shared" si="5"/>
        <v>16.659426405248965</v>
      </c>
    </row>
    <row r="15" spans="1:28" x14ac:dyDescent="0.2">
      <c r="A15" s="100">
        <v>0.2</v>
      </c>
      <c r="B15" s="4" t="s">
        <v>36</v>
      </c>
      <c r="C15" s="82">
        <f>Pessimistisch!C15</f>
        <v>8.2062471059599993</v>
      </c>
      <c r="D15" s="82">
        <f>Pessimistisch!D15</f>
        <v>8.8765932081900001</v>
      </c>
      <c r="E15" s="82">
        <f>Pessimistisch!E15</f>
        <v>13.0788405171</v>
      </c>
      <c r="F15" s="82">
        <f>Pessimistisch!F15</f>
        <v>14.71092349199</v>
      </c>
      <c r="G15" s="72">
        <v>16.512822499999999</v>
      </c>
      <c r="H15" s="72">
        <v>18.9023292</v>
      </c>
      <c r="I15" s="72">
        <v>21.380620200000003</v>
      </c>
      <c r="J15" s="72">
        <f>J14*(1-$A$15)</f>
        <v>17.368172308960649</v>
      </c>
      <c r="K15" s="72">
        <f>K14*(1-$A$15)</f>
        <v>16.542673295687692</v>
      </c>
      <c r="L15" s="72">
        <f t="shared" ref="L15:Q15" si="6">L14*(1-$A$15)</f>
        <v>15.694861289283697</v>
      </c>
      <c r="M15" s="72">
        <f t="shared" si="6"/>
        <v>14.824319649771429</v>
      </c>
      <c r="N15" s="72">
        <f t="shared" si="6"/>
        <v>13.930624950885207</v>
      </c>
      <c r="O15" s="72">
        <f>O14*(1-$A$15)</f>
        <v>14.097792450295827</v>
      </c>
      <c r="P15" s="72">
        <f t="shared" si="6"/>
        <v>13.169507039722502</v>
      </c>
      <c r="Q15" s="72">
        <f t="shared" si="6"/>
        <v>13.327541124199172</v>
      </c>
    </row>
    <row r="16" spans="1:28" ht="22" hidden="1" thickBot="1" x14ac:dyDescent="0.25">
      <c r="A16" s="13" t="s">
        <v>5</v>
      </c>
      <c r="B16" s="14"/>
      <c r="C16" s="15">
        <f t="shared" ref="C16:J16" si="7">C15/C14</f>
        <v>0.56771532339260533</v>
      </c>
      <c r="D16" s="15">
        <f t="shared" si="7"/>
        <v>0.65315974147218459</v>
      </c>
      <c r="E16" s="15">
        <f t="shared" si="7"/>
        <v>0.82506005608376098</v>
      </c>
      <c r="F16" s="15">
        <f t="shared" si="7"/>
        <v>0.85447107659990151</v>
      </c>
      <c r="G16" s="15">
        <f t="shared" si="7"/>
        <v>0.88986201259540942</v>
      </c>
      <c r="H16" s="15">
        <f t="shared" si="7"/>
        <v>0.94270344112823112</v>
      </c>
      <c r="I16" s="15">
        <f t="shared" si="7"/>
        <v>0.99898680687965014</v>
      </c>
      <c r="J16" s="15">
        <f t="shared" si="7"/>
        <v>0.8</v>
      </c>
    </row>
    <row r="17" spans="1:18" ht="17" x14ac:dyDescent="0.2">
      <c r="A17" s="2" t="s">
        <v>33</v>
      </c>
      <c r="C17" s="82"/>
      <c r="D17" s="82"/>
      <c r="E17" s="82"/>
      <c r="F17" s="82"/>
      <c r="G17" s="72">
        <f>G15/G18</f>
        <v>2.6637310416545614</v>
      </c>
      <c r="H17" s="72">
        <f t="shared" ref="H17:O17" si="8">H15/H18</f>
        <v>3.0340191660065456</v>
      </c>
      <c r="I17" s="72">
        <f t="shared" si="8"/>
        <v>3.4147367972272962</v>
      </c>
      <c r="J17" s="72">
        <f t="shared" si="8"/>
        <v>2.7601011178999859</v>
      </c>
      <c r="K17" s="72">
        <f t="shared" si="8"/>
        <v>2.6158359555772064</v>
      </c>
      <c r="L17" s="72">
        <f t="shared" si="8"/>
        <v>2.4694272267202733</v>
      </c>
      <c r="M17" s="72">
        <f t="shared" si="8"/>
        <v>2.3208520695305364</v>
      </c>
      <c r="N17" s="72">
        <f t="shared" si="8"/>
        <v>2.170087407728766</v>
      </c>
      <c r="O17" s="72">
        <f t="shared" si="8"/>
        <v>2.1852024443995135</v>
      </c>
      <c r="P17" s="72">
        <f>P15/P18</f>
        <v>2.0311594707070566</v>
      </c>
      <c r="Q17" s="72"/>
    </row>
    <row r="18" spans="1:18" ht="35" thickBot="1" x14ac:dyDescent="0.25">
      <c r="A18" s="2" t="s">
        <v>35</v>
      </c>
      <c r="C18" s="107">
        <v>1.0049999999999999</v>
      </c>
      <c r="D18" s="82"/>
      <c r="E18" s="82"/>
      <c r="F18" s="82"/>
      <c r="G18" s="72">
        <f>C50</f>
        <v>6.1991328110000001</v>
      </c>
      <c r="H18" s="72">
        <f>G18*$C18</f>
        <v>6.2301284750549994</v>
      </c>
      <c r="I18" s="72">
        <f t="shared" ref="I18:P18" si="9">H18*$C18</f>
        <v>6.2612791174302735</v>
      </c>
      <c r="J18" s="72">
        <f t="shared" si="9"/>
        <v>6.292585513017424</v>
      </c>
      <c r="K18" s="72">
        <f t="shared" si="9"/>
        <v>6.3240484405825104</v>
      </c>
      <c r="L18" s="72">
        <f t="shared" si="9"/>
        <v>6.3556686827854225</v>
      </c>
      <c r="M18" s="72">
        <f t="shared" si="9"/>
        <v>6.3874470261993492</v>
      </c>
      <c r="N18" s="72">
        <f t="shared" si="9"/>
        <v>6.4193842613303449</v>
      </c>
      <c r="O18" s="72">
        <f t="shared" si="9"/>
        <v>6.4514811826369955</v>
      </c>
      <c r="P18" s="72">
        <f t="shared" si="9"/>
        <v>6.4837385885501799</v>
      </c>
      <c r="Q18" s="72"/>
    </row>
    <row r="19" spans="1:18" ht="17" thickBot="1" x14ac:dyDescent="0.25">
      <c r="A19" s="2"/>
      <c r="E19" s="51" t="s">
        <v>10</v>
      </c>
      <c r="F19" s="52"/>
      <c r="G19" s="53">
        <f>G15/(1+$C$59)</f>
        <v>15.343993774246751</v>
      </c>
      <c r="H19" s="53">
        <f>H15/(1+$C$59)^2</f>
        <v>16.321103713073903</v>
      </c>
      <c r="I19" s="53">
        <f>I15/(1+$C$59)^3</f>
        <v>17.154244742421504</v>
      </c>
      <c r="J19" s="53">
        <f>J15/(1+$C$59)^4</f>
        <v>12.948591294803215</v>
      </c>
      <c r="K19" s="53">
        <f>K15/(1+$C$59)^5</f>
        <v>11.460173640327664</v>
      </c>
      <c r="L19" s="53">
        <f>L15/(1+$C$59)^6</f>
        <v>10.103226465269001</v>
      </c>
      <c r="M19" s="53">
        <f>M15/(1+$C$59)^7</f>
        <v>8.8673628087086964</v>
      </c>
      <c r="N19" s="53">
        <f>N15/(1+$C$59)^8</f>
        <v>7.7429669969615649</v>
      </c>
      <c r="O19" s="53">
        <f>O15/(1+$C$59)^9</f>
        <v>7.281234558436223</v>
      </c>
      <c r="P19" s="53">
        <f>P15/(1+$C$59)^10</f>
        <v>6.3203412711794069</v>
      </c>
      <c r="Q19" s="54">
        <f>(Q15/(C59-Q12))/(1+C59)^10</f>
        <v>99.667867026623426</v>
      </c>
    </row>
    <row r="20" spans="1:18" x14ac:dyDescent="0.2">
      <c r="A20" s="2"/>
      <c r="C20" s="75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">
      <c r="A21" s="2"/>
      <c r="J21" s="101"/>
      <c r="K21" s="101"/>
      <c r="L21" s="101"/>
      <c r="M21" s="101"/>
      <c r="N21" s="101"/>
      <c r="O21" s="101"/>
      <c r="P21" s="101"/>
      <c r="Q21" s="101"/>
      <c r="R21" s="3"/>
    </row>
    <row r="22" spans="1:18" ht="17" thickBot="1" x14ac:dyDescent="0.25">
      <c r="P22" s="3"/>
      <c r="Q22" s="3"/>
      <c r="R22" s="3"/>
    </row>
    <row r="23" spans="1:18" x14ac:dyDescent="0.2">
      <c r="A23" s="32" t="s">
        <v>22</v>
      </c>
      <c r="B23" s="33"/>
      <c r="C23" s="33"/>
      <c r="D23" s="34"/>
      <c r="E23" s="23"/>
      <c r="F23" s="33"/>
      <c r="G23" s="59" t="s">
        <v>23</v>
      </c>
      <c r="H23" s="23"/>
      <c r="I23" s="78">
        <v>3.7499999999999999E-2</v>
      </c>
      <c r="J23" s="24" t="s">
        <v>24</v>
      </c>
    </row>
    <row r="24" spans="1:18" x14ac:dyDescent="0.2">
      <c r="A24" s="35"/>
      <c r="B24" s="36"/>
      <c r="C24" s="36"/>
      <c r="D24" s="37"/>
      <c r="E24" s="36"/>
      <c r="F24" s="36"/>
      <c r="G24" s="25"/>
      <c r="I24" s="79"/>
      <c r="J24" s="26"/>
    </row>
    <row r="25" spans="1:18" x14ac:dyDescent="0.2">
      <c r="A25" s="35"/>
      <c r="B25" s="36"/>
      <c r="C25" s="36"/>
      <c r="D25" s="38"/>
      <c r="F25" s="36"/>
      <c r="G25" s="25" t="s">
        <v>25</v>
      </c>
      <c r="I25" s="80">
        <f>(I27-I23)*I29</f>
        <v>3.8675000000000008E-2</v>
      </c>
      <c r="J25" s="26"/>
    </row>
    <row r="26" spans="1:18" x14ac:dyDescent="0.2">
      <c r="A26" s="35"/>
      <c r="B26" s="36"/>
      <c r="C26" s="36"/>
      <c r="D26" s="38"/>
      <c r="F26" s="36"/>
      <c r="G26" s="25"/>
      <c r="I26" s="79"/>
      <c r="J26" s="26"/>
    </row>
    <row r="27" spans="1:18" x14ac:dyDescent="0.2">
      <c r="A27" s="35"/>
      <c r="B27" s="36"/>
      <c r="C27" s="36"/>
      <c r="D27" s="38"/>
      <c r="F27" s="36"/>
      <c r="G27" s="25" t="s">
        <v>26</v>
      </c>
      <c r="I27" s="81">
        <v>7.0000000000000007E-2</v>
      </c>
      <c r="J27" s="26" t="s">
        <v>27</v>
      </c>
    </row>
    <row r="28" spans="1:18" x14ac:dyDescent="0.2">
      <c r="A28" s="35"/>
      <c r="B28" s="36"/>
      <c r="C28" s="36"/>
      <c r="D28" s="39"/>
      <c r="F28" s="36"/>
      <c r="G28" s="25"/>
      <c r="I28" s="79"/>
      <c r="J28" s="26"/>
    </row>
    <row r="29" spans="1:18" x14ac:dyDescent="0.2">
      <c r="A29" s="35"/>
      <c r="B29" s="36"/>
      <c r="C29" s="36"/>
      <c r="D29" s="39"/>
      <c r="F29" s="36"/>
      <c r="G29" s="25" t="s">
        <v>32</v>
      </c>
      <c r="I29" s="79">
        <v>1.19</v>
      </c>
      <c r="J29" s="26" t="s">
        <v>28</v>
      </c>
    </row>
    <row r="30" spans="1:18" x14ac:dyDescent="0.2">
      <c r="A30" s="35"/>
      <c r="B30" s="36"/>
      <c r="C30" s="36"/>
      <c r="D30" s="40"/>
      <c r="F30" s="36"/>
      <c r="G30" s="25"/>
      <c r="I30" s="79"/>
      <c r="J30" s="26"/>
    </row>
    <row r="31" spans="1:18" x14ac:dyDescent="0.2">
      <c r="A31" s="35"/>
      <c r="B31" s="36"/>
      <c r="C31" s="36"/>
      <c r="D31" s="37"/>
      <c r="F31" s="36"/>
      <c r="G31" s="25" t="s">
        <v>29</v>
      </c>
      <c r="I31" s="81">
        <f>I23+(I27-I23)*I29</f>
        <v>7.6175000000000007E-2</v>
      </c>
      <c r="J31" s="26" t="s">
        <v>30</v>
      </c>
    </row>
    <row r="32" spans="1:18" x14ac:dyDescent="0.2">
      <c r="A32" s="25"/>
      <c r="C32" s="41"/>
      <c r="E32" s="36"/>
      <c r="F32" s="36"/>
      <c r="G32" s="25"/>
      <c r="J32" s="26"/>
    </row>
    <row r="33" spans="1:10" x14ac:dyDescent="0.2">
      <c r="A33" s="25"/>
      <c r="G33" s="76" t="s">
        <v>31</v>
      </c>
      <c r="H33" s="22"/>
      <c r="I33" s="77">
        <f>I31</f>
        <v>7.6175000000000007E-2</v>
      </c>
      <c r="J33" s="26"/>
    </row>
    <row r="34" spans="1:10" x14ac:dyDescent="0.2">
      <c r="A34" s="35" t="s">
        <v>6</v>
      </c>
      <c r="B34" s="36"/>
      <c r="C34" s="42"/>
      <c r="D34" s="27"/>
      <c r="G34" s="25"/>
      <c r="J34" s="26"/>
    </row>
    <row r="35" spans="1:10" ht="15.75" hidden="1" customHeight="1" x14ac:dyDescent="0.2">
      <c r="A35" s="25"/>
      <c r="G35" s="25"/>
      <c r="J35" s="26"/>
    </row>
    <row r="36" spans="1:10" ht="15.75" hidden="1" customHeight="1" x14ac:dyDescent="0.2">
      <c r="A36" s="25"/>
      <c r="B36" s="1" t="s">
        <v>7</v>
      </c>
      <c r="D36" s="43">
        <v>0.08</v>
      </c>
      <c r="G36" s="25"/>
      <c r="J36" s="26"/>
    </row>
    <row r="37" spans="1:10" ht="15.75" hidden="1" customHeight="1" x14ac:dyDescent="0.2">
      <c r="A37" s="25"/>
      <c r="G37" s="25"/>
      <c r="J37" s="26"/>
    </row>
    <row r="38" spans="1:10" ht="15.75" hidden="1" customHeight="1" x14ac:dyDescent="0.2">
      <c r="A38" s="25"/>
      <c r="G38" s="25"/>
      <c r="J38" s="26"/>
    </row>
    <row r="39" spans="1:10" ht="15.75" hidden="1" customHeight="1" x14ac:dyDescent="0.2">
      <c r="A39" s="25"/>
      <c r="G39" s="25"/>
      <c r="J39" s="26"/>
    </row>
    <row r="40" spans="1:10" hidden="1" x14ac:dyDescent="0.2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">
      <c r="A45" s="25"/>
      <c r="G45" s="25"/>
      <c r="J45" s="26"/>
    </row>
    <row r="46" spans="1:10" ht="17" thickBot="1" x14ac:dyDescent="0.25">
      <c r="A46" s="28"/>
      <c r="B46" s="29" t="s">
        <v>18</v>
      </c>
      <c r="C46" s="29"/>
      <c r="D46" s="44">
        <f>I33</f>
        <v>7.6175000000000007E-2</v>
      </c>
      <c r="E46" s="29"/>
      <c r="F46" s="29"/>
      <c r="G46" s="28"/>
      <c r="H46" s="29"/>
      <c r="I46" s="29"/>
      <c r="J46" s="30"/>
    </row>
    <row r="47" spans="1:10" x14ac:dyDescent="0.2"/>
    <row r="48" spans="1:10" x14ac:dyDescent="0.2">
      <c r="A48" s="16"/>
      <c r="B48" s="17"/>
      <c r="C48" s="83">
        <f>Pessimistisch!C48</f>
        <v>45177</v>
      </c>
      <c r="D48" s="18" t="s">
        <v>3</v>
      </c>
      <c r="E48" s="19"/>
      <c r="F48" s="20"/>
      <c r="G48" s="21"/>
      <c r="H48" s="21"/>
      <c r="I48" s="21"/>
    </row>
    <row r="49" spans="1:20" ht="17" x14ac:dyDescent="0.2">
      <c r="A49" s="45" t="s">
        <v>0</v>
      </c>
      <c r="B49" s="46" t="str">
        <f>Pessimistisch!B49</f>
        <v>Marktkapitalisierung, Mrd.</v>
      </c>
      <c r="C49" s="87">
        <f>Pessimistisch!C49</f>
        <v>214.30072268197003</v>
      </c>
      <c r="D49" s="47">
        <f>SUM(G19:Q19)</f>
        <v>213.21110629205134</v>
      </c>
      <c r="E49" s="46"/>
    </row>
    <row r="50" spans="1:20" x14ac:dyDescent="0.2">
      <c r="A50" s="45"/>
      <c r="B50" s="46" t="str">
        <f>Pessimistisch!B50</f>
        <v>Anzahl A-Aktien gesamt, Mrd.</v>
      </c>
      <c r="C50" s="87">
        <f>Pessimistisch!C50</f>
        <v>6.1991328110000001</v>
      </c>
      <c r="D50" s="56">
        <f>C50+C52+C54</f>
        <v>9.3286950500000003</v>
      </c>
      <c r="E50" s="46" t="str">
        <f>Pessimistisch!E50</f>
        <v>(A+H+D)</v>
      </c>
    </row>
    <row r="51" spans="1:20" x14ac:dyDescent="0.2">
      <c r="A51" s="45"/>
      <c r="B51" s="46" t="str">
        <f>Pessimistisch!B51</f>
        <v xml:space="preserve">Kurs pro Aktie </v>
      </c>
      <c r="C51" s="87">
        <f>Pessimistisch!C51</f>
        <v>23.6</v>
      </c>
      <c r="D51" s="87">
        <f>D49/(D50)</f>
        <v>22.855405300449963</v>
      </c>
      <c r="E51" s="46"/>
    </row>
    <row r="52" spans="1:20" x14ac:dyDescent="0.2">
      <c r="A52" s="45"/>
      <c r="B52" s="46" t="str">
        <f>Pessimistisch!B52</f>
        <v>Anzahl H-Aktien gesamt, Mrd.</v>
      </c>
      <c r="C52" s="87">
        <f>Pessimistisch!C52</f>
        <v>2.8585482660000001</v>
      </c>
      <c r="D52" s="109" t="s">
        <v>46</v>
      </c>
      <c r="E52" s="46"/>
    </row>
    <row r="53" spans="1:20" x14ac:dyDescent="0.2">
      <c r="A53" s="45"/>
      <c r="B53" s="46" t="str">
        <f>Pessimistisch!B53</f>
        <v>Kurs pro H-Aktie</v>
      </c>
      <c r="C53" s="87">
        <f>Pessimistisch!C53</f>
        <v>22.98</v>
      </c>
      <c r="D53" s="109" t="s">
        <v>46</v>
      </c>
      <c r="E53" s="46"/>
    </row>
    <row r="54" spans="1:20" x14ac:dyDescent="0.2">
      <c r="A54" s="45"/>
      <c r="B54" s="46" t="str">
        <f>Pessimistisch!B54</f>
        <v>Anzahl D-Aktien gesamt, Mrd.</v>
      </c>
      <c r="C54" s="87">
        <f>Pessimistisch!C54</f>
        <v>0.27101397300000002</v>
      </c>
      <c r="D54" s="109" t="s">
        <v>46</v>
      </c>
      <c r="E54" s="46"/>
    </row>
    <row r="55" spans="1:20" x14ac:dyDescent="0.2">
      <c r="A55" s="45"/>
      <c r="B55" s="46" t="str">
        <f>Pessimistisch!B55</f>
        <v>Kurs pro D-Aktie</v>
      </c>
      <c r="C55" s="87">
        <f>Pessimistisch!C55</f>
        <v>8.5299999999999994</v>
      </c>
      <c r="D55" s="110" t="s">
        <v>46</v>
      </c>
      <c r="E55" s="46"/>
    </row>
    <row r="56" spans="1:20" x14ac:dyDescent="0.2">
      <c r="A56" s="45"/>
      <c r="B56" s="46" t="str">
        <f>Pessimistisch!B56</f>
        <v>Unterbewertung</v>
      </c>
      <c r="C56" s="46"/>
      <c r="D56" s="57">
        <f>IF(C49/D49-1&gt;0,0,C49/D49-1)*-1</f>
        <v>0</v>
      </c>
      <c r="E56" s="46"/>
    </row>
    <row r="57" spans="1:20" x14ac:dyDescent="0.2">
      <c r="A57" s="45"/>
      <c r="B57" s="46" t="str">
        <f>Pessimistisch!B57</f>
        <v>Überbewertung</v>
      </c>
      <c r="C57" s="46"/>
      <c r="D57" s="58">
        <f>IF(C49/D49-1&lt;0,0,C49/D49-1)</f>
        <v>5.1105048365827077E-3</v>
      </c>
      <c r="E57" s="46"/>
    </row>
    <row r="58" spans="1:20" x14ac:dyDescent="0.2">
      <c r="A58" s="46"/>
      <c r="B58" s="46"/>
      <c r="C58" s="46"/>
      <c r="D58" s="48"/>
      <c r="E58" s="48"/>
    </row>
    <row r="59" spans="1:20" x14ac:dyDescent="0.2">
      <c r="A59" s="48" t="s">
        <v>17</v>
      </c>
      <c r="B59" s="46"/>
      <c r="C59" s="50">
        <f>D46</f>
        <v>7.6175000000000007E-2</v>
      </c>
      <c r="D59" s="49"/>
      <c r="E59" s="46"/>
      <c r="J59" s="70"/>
    </row>
    <row r="60" spans="1:20" x14ac:dyDescent="0.2">
      <c r="A60" s="48"/>
      <c r="B60" s="46"/>
      <c r="C60" s="50"/>
      <c r="D60" s="49"/>
      <c r="E60" s="46"/>
    </row>
    <row r="61" spans="1:20" hidden="1" x14ac:dyDescent="0.2">
      <c r="A61" s="48" t="s">
        <v>20</v>
      </c>
      <c r="B61" s="73">
        <v>0.108</v>
      </c>
      <c r="C61" s="50"/>
      <c r="D61" s="74">
        <f>SUM(H61:Q61)*1000</f>
        <v>144678.82700759842</v>
      </c>
      <c r="E61" s="46"/>
      <c r="F61" s="1" t="s">
        <v>21</v>
      </c>
      <c r="H61" s="1">
        <f>G15/(1+$B$61)</f>
        <v>14.903269404332127</v>
      </c>
      <c r="I61" s="1">
        <f>H15/(1+$B$61)^2</f>
        <v>15.396989078444912</v>
      </c>
      <c r="J61" s="1">
        <f>I15/(1+$B$61)^3</f>
        <v>15.718135115274897</v>
      </c>
      <c r="K61" s="1">
        <f>J15/(1+$B$61)^4</f>
        <v>11.523783155664916</v>
      </c>
      <c r="L61" s="1">
        <f>K15/(1+$B$61)^5</f>
        <v>9.9061954160398304</v>
      </c>
      <c r="M61" s="1">
        <f>L15/(1+$B$61)^6</f>
        <v>8.4824033402236356</v>
      </c>
      <c r="N61" s="1">
        <f>M15/(1+$B$61)^7</f>
        <v>7.230968142255624</v>
      </c>
      <c r="O61" s="1">
        <f>N15/(1+$B$61)^8</f>
        <v>6.1327112480347434</v>
      </c>
      <c r="P61" s="1">
        <f>O15/(1+$B$61)^9</f>
        <v>5.6013572048837172</v>
      </c>
      <c r="Q61" s="1">
        <f>(Q15/(B61-Q12))/(1+B61)^10</f>
        <v>49.783014902444016</v>
      </c>
    </row>
    <row r="62" spans="1:20" ht="17" thickBot="1" x14ac:dyDescent="0.25">
      <c r="A62" s="22"/>
      <c r="C62" s="65"/>
      <c r="D62" s="66"/>
    </row>
    <row r="63" spans="1:20" x14ac:dyDescent="0.2">
      <c r="A63" s="59" t="str">
        <f>Pessimistisch!A63</f>
        <v>KGV Multiple in 2032</v>
      </c>
      <c r="B63" s="23"/>
      <c r="C63" s="67">
        <v>21</v>
      </c>
      <c r="D63" s="23"/>
      <c r="E63" s="24"/>
    </row>
    <row r="64" spans="1:20" x14ac:dyDescent="0.2">
      <c r="A64" s="25" t="s">
        <v>19</v>
      </c>
      <c r="C64" s="68"/>
      <c r="D64" s="68"/>
      <c r="E64" s="26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1:5" x14ac:dyDescent="0.2">
      <c r="A65" s="25"/>
      <c r="C65" s="68"/>
      <c r="E65" s="26"/>
    </row>
    <row r="66" spans="1:5" x14ac:dyDescent="0.2">
      <c r="A66" s="25" t="s">
        <v>34</v>
      </c>
      <c r="C66" s="68"/>
      <c r="E66" s="60">
        <f>P17*C63</f>
        <v>42.65434888484819</v>
      </c>
    </row>
    <row r="67" spans="1:5" x14ac:dyDescent="0.2">
      <c r="A67" s="25"/>
      <c r="C67" s="68"/>
      <c r="E67" s="26"/>
    </row>
    <row r="68" spans="1:5" x14ac:dyDescent="0.2">
      <c r="A68" s="25" t="s">
        <v>15</v>
      </c>
      <c r="C68" s="69">
        <v>0.32500000000000001</v>
      </c>
      <c r="E68" s="26"/>
    </row>
    <row r="69" spans="1:5" x14ac:dyDescent="0.2">
      <c r="A69" s="25"/>
      <c r="E69" s="26"/>
    </row>
    <row r="70" spans="1:5" x14ac:dyDescent="0.2">
      <c r="A70" s="25" t="s">
        <v>16</v>
      </c>
      <c r="E70" s="60">
        <f>SUM(G17:Q17)*C68</f>
        <v>8.3411746266718172</v>
      </c>
    </row>
    <row r="71" spans="1:5" x14ac:dyDescent="0.2">
      <c r="A71" s="25"/>
      <c r="E71" s="61"/>
    </row>
    <row r="72" spans="1:5" x14ac:dyDescent="0.2">
      <c r="A72" s="102" t="s">
        <v>37</v>
      </c>
      <c r="E72" s="103">
        <f>(E70*0.1)*-1</f>
        <v>-0.83411746266718179</v>
      </c>
    </row>
    <row r="73" spans="1:5" x14ac:dyDescent="0.2">
      <c r="A73" s="25"/>
      <c r="C73" s="41"/>
      <c r="D73" s="41"/>
      <c r="E73" s="62"/>
    </row>
    <row r="74" spans="1:5" x14ac:dyDescent="0.2">
      <c r="A74" s="25" t="str">
        <f>Pessimistisch!A74</f>
        <v>Gesamtwert 2032</v>
      </c>
      <c r="E74" s="60">
        <f>SUM(E66:E72)</f>
        <v>50.161406048852825</v>
      </c>
    </row>
    <row r="75" spans="1:5" x14ac:dyDescent="0.2">
      <c r="A75" s="25"/>
      <c r="E75" s="60"/>
    </row>
    <row r="76" spans="1:5" x14ac:dyDescent="0.2">
      <c r="A76" s="25" t="str">
        <f>Pessimistisch!A76</f>
        <v>Steigerung Gesamt bis 2032 in Prozent</v>
      </c>
      <c r="E76" s="62">
        <f>E74/C51-1</f>
        <v>1.1254833071547807</v>
      </c>
    </row>
    <row r="77" spans="1:5" x14ac:dyDescent="0.2">
      <c r="A77" s="25"/>
      <c r="E77" s="106"/>
    </row>
    <row r="78" spans="1:5" ht="17" thickBot="1" x14ac:dyDescent="0.25">
      <c r="A78" s="63" t="str">
        <f>Pessimistisch!A78</f>
        <v>Renditeerwartung bis 2032 pro Jahr</v>
      </c>
      <c r="B78" s="64"/>
      <c r="C78" s="64"/>
      <c r="D78" s="64"/>
      <c r="E78" s="105">
        <f>(E74/C51)^(1/8)-1</f>
        <v>9.8834312387723333E-2</v>
      </c>
    </row>
    <row r="79" spans="1:5" x14ac:dyDescent="0.2"/>
  </sheetData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conditionalFormatting sqref="G6:J8">
    <cfRule type="top10" dxfId="3" priority="5" percent="1" rank="10"/>
  </conditionalFormatting>
  <conditionalFormatting sqref="L2:L5">
    <cfRule type="top10" dxfId="2" priority="3" percent="1" rank="10"/>
  </conditionalFormatting>
  <conditionalFormatting sqref="L6:L8">
    <cfRule type="top10" dxfId="1" priority="6" percent="1" rank="10"/>
  </conditionalFormatting>
  <conditionalFormatting sqref="L9">
    <cfRule type="top10" dxfId="0" priority="4" percent="1" rank="10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Pessimistisch</vt:lpstr>
      <vt:lpstr>Optimistisch</vt:lpstr>
      <vt:lpstr>Wachstum für faire Bewertung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Tilman Reichel</cp:lastModifiedBy>
  <cp:lastPrinted>2021-08-03T18:16:56Z</cp:lastPrinted>
  <dcterms:created xsi:type="dcterms:W3CDTF">2020-02-09T06:30:31Z</dcterms:created>
  <dcterms:modified xsi:type="dcterms:W3CDTF">2023-09-29T22:13:00Z</dcterms:modified>
</cp:coreProperties>
</file>