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Hershey's/"/>
    </mc:Choice>
  </mc:AlternateContent>
  <xr:revisionPtr revIDLastSave="0" documentId="13_ncr:1_{3E158D67-C82C-C043-A7F8-1F0FA7862EBB}" xr6:coauthVersionLast="47" xr6:coauthVersionMax="47" xr10:uidLastSave="{00000000-0000-0000-0000-000000000000}"/>
  <bookViews>
    <workbookView xWindow="0" yWindow="500" windowWidth="28800" windowHeight="16000" activeTab="2" xr2:uid="{00000000-000D-0000-FFFF-FFFF00000000}"/>
  </bookViews>
  <sheets>
    <sheet name="Pessimistisch" sheetId="34" r:id="rId1"/>
    <sheet name="Optimistisch" sheetId="37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4" l="1"/>
  <c r="J18" i="34" s="1"/>
  <c r="K18" i="34" s="1"/>
  <c r="L18" i="34" s="1"/>
  <c r="M18" i="34" s="1"/>
  <c r="N18" i="34" s="1"/>
  <c r="O18" i="34" s="1"/>
  <c r="P18" i="34" s="1"/>
  <c r="H18" i="34"/>
  <c r="K11" i="34" l="1"/>
  <c r="C50" i="34"/>
  <c r="C51" i="37"/>
  <c r="I18" i="35"/>
  <c r="J18" i="35" s="1"/>
  <c r="K18" i="35" s="1"/>
  <c r="L18" i="35" s="1"/>
  <c r="M18" i="35" s="1"/>
  <c r="N18" i="35" s="1"/>
  <c r="O18" i="35" s="1"/>
  <c r="P18" i="35" s="1"/>
  <c r="H18" i="35"/>
  <c r="G18" i="35"/>
  <c r="P18" i="37"/>
  <c r="I18" i="37"/>
  <c r="J18" i="37" s="1"/>
  <c r="K18" i="37" s="1"/>
  <c r="L18" i="37" s="1"/>
  <c r="M18" i="37" s="1"/>
  <c r="N18" i="37" s="1"/>
  <c r="O18" i="37" s="1"/>
  <c r="H18" i="37"/>
  <c r="G18" i="34"/>
  <c r="C50" i="35"/>
  <c r="A74" i="35"/>
  <c r="A72" i="35"/>
  <c r="A70" i="35"/>
  <c r="C51" i="35"/>
  <c r="C48" i="35"/>
  <c r="C48" i="37"/>
  <c r="F15" i="35"/>
  <c r="E15" i="35"/>
  <c r="D15" i="35"/>
  <c r="C15" i="35"/>
  <c r="C50" i="37" l="1"/>
  <c r="D14" i="35"/>
  <c r="E14" i="35"/>
  <c r="F14" i="35"/>
  <c r="C14" i="35"/>
  <c r="D11" i="35"/>
  <c r="E11" i="35"/>
  <c r="F11" i="35"/>
  <c r="C11" i="35"/>
  <c r="D15" i="37"/>
  <c r="D16" i="37" s="1"/>
  <c r="E15" i="37"/>
  <c r="F15" i="37"/>
  <c r="C15" i="37"/>
  <c r="H14" i="37"/>
  <c r="I14" i="37"/>
  <c r="G14" i="37"/>
  <c r="D14" i="37"/>
  <c r="E14" i="37"/>
  <c r="F14" i="37"/>
  <c r="C14" i="37"/>
  <c r="C13" i="37" s="1"/>
  <c r="I11" i="37"/>
  <c r="I13" i="37" s="1"/>
  <c r="H11" i="37"/>
  <c r="H13" i="37" s="1"/>
  <c r="G11" i="37"/>
  <c r="G12" i="37" s="1"/>
  <c r="F11" i="37"/>
  <c r="F12" i="37" s="1"/>
  <c r="D11" i="37"/>
  <c r="E11" i="37"/>
  <c r="E12" i="37" s="1"/>
  <c r="C11" i="37"/>
  <c r="Q12" i="35"/>
  <c r="D50" i="37"/>
  <c r="C49" i="37"/>
  <c r="I31" i="37"/>
  <c r="I33" i="37" s="1"/>
  <c r="D46" i="37" s="1"/>
  <c r="C55" i="37" s="1"/>
  <c r="I25" i="37"/>
  <c r="G18" i="37"/>
  <c r="G13" i="37"/>
  <c r="D13" i="37"/>
  <c r="I12" i="37"/>
  <c r="D10" i="37"/>
  <c r="E10" i="37" s="1"/>
  <c r="F10" i="37" s="1"/>
  <c r="G10" i="37" s="1"/>
  <c r="H10" i="37" s="1"/>
  <c r="I10" i="37" s="1"/>
  <c r="J10" i="37" s="1"/>
  <c r="K10" i="37" s="1"/>
  <c r="L10" i="37" s="1"/>
  <c r="M10" i="37" s="1"/>
  <c r="N10" i="37" s="1"/>
  <c r="O10" i="37" s="1"/>
  <c r="P10" i="37" s="1"/>
  <c r="H13" i="34"/>
  <c r="I13" i="34"/>
  <c r="G13" i="34"/>
  <c r="J11" i="34"/>
  <c r="F16" i="37" l="1"/>
  <c r="E16" i="37"/>
  <c r="C16" i="37"/>
  <c r="E13" i="37"/>
  <c r="D12" i="37"/>
  <c r="F13" i="37"/>
  <c r="H12" i="37"/>
  <c r="J11" i="37"/>
  <c r="K11" i="37" s="1"/>
  <c r="L11" i="37" s="1"/>
  <c r="A72" i="37"/>
  <c r="A74" i="37"/>
  <c r="A59" i="37"/>
  <c r="Q10" i="37"/>
  <c r="A70" i="37"/>
  <c r="H12" i="35"/>
  <c r="I12" i="35" s="1"/>
  <c r="J12" i="35" s="1"/>
  <c r="K12" i="35" s="1"/>
  <c r="L12" i="35" s="1"/>
  <c r="M12" i="35" s="1"/>
  <c r="N12" i="35" s="1"/>
  <c r="O12" i="35" s="1"/>
  <c r="D13" i="35"/>
  <c r="E13" i="35"/>
  <c r="F13" i="35"/>
  <c r="C13" i="35"/>
  <c r="Q10" i="35"/>
  <c r="H10" i="35"/>
  <c r="I10" i="35" s="1"/>
  <c r="J10" i="35" s="1"/>
  <c r="K10" i="35" s="1"/>
  <c r="L10" i="35" s="1"/>
  <c r="M10" i="35" s="1"/>
  <c r="N10" i="35" s="1"/>
  <c r="O10" i="35" s="1"/>
  <c r="P10" i="35" s="1"/>
  <c r="G10" i="35"/>
  <c r="E10" i="35"/>
  <c r="F10" i="35" s="1"/>
  <c r="D10" i="35"/>
  <c r="D10" i="34"/>
  <c r="E10" i="34" s="1"/>
  <c r="F10" i="34" s="1"/>
  <c r="G10" i="34" s="1"/>
  <c r="H10" i="34" s="1"/>
  <c r="I10" i="34" s="1"/>
  <c r="J10" i="34" s="1"/>
  <c r="K10" i="34" s="1"/>
  <c r="L10" i="34" s="1"/>
  <c r="M10" i="34" s="1"/>
  <c r="N10" i="34" s="1"/>
  <c r="O10" i="34" s="1"/>
  <c r="P10" i="34" s="1"/>
  <c r="C55" i="34"/>
  <c r="C49" i="34"/>
  <c r="D50" i="34"/>
  <c r="I31" i="34"/>
  <c r="D13" i="34"/>
  <c r="E13" i="34"/>
  <c r="F13" i="34"/>
  <c r="C13" i="34"/>
  <c r="G11" i="35"/>
  <c r="J14" i="37" l="1"/>
  <c r="J15" i="37" s="1"/>
  <c r="K57" i="37" s="1"/>
  <c r="K14" i="37"/>
  <c r="K15" i="37" s="1"/>
  <c r="L57" i="37" s="1"/>
  <c r="Q10" i="34"/>
  <c r="A74" i="34"/>
  <c r="A72" i="34"/>
  <c r="A70" i="34"/>
  <c r="A59" i="34"/>
  <c r="A59" i="35" s="1"/>
  <c r="L14" i="37"/>
  <c r="L15" i="37" s="1"/>
  <c r="M11" i="37"/>
  <c r="K19" i="37" l="1"/>
  <c r="J19" i="37"/>
  <c r="J16" i="37"/>
  <c r="J17" i="37"/>
  <c r="M14" i="37"/>
  <c r="M15" i="37" s="1"/>
  <c r="N11" i="37"/>
  <c r="L19" i="37"/>
  <c r="M57" i="37"/>
  <c r="H11" i="35"/>
  <c r="M19" i="37" l="1"/>
  <c r="N57" i="37"/>
  <c r="N14" i="37"/>
  <c r="N15" i="37" s="1"/>
  <c r="O11" i="37"/>
  <c r="K17" i="37"/>
  <c r="H12" i="34"/>
  <c r="I12" i="34"/>
  <c r="P11" i="37" l="1"/>
  <c r="O14" i="37"/>
  <c r="O15" i="37" s="1"/>
  <c r="O57" i="37"/>
  <c r="N19" i="37"/>
  <c r="L17" i="37"/>
  <c r="I11" i="35"/>
  <c r="D50" i="35"/>
  <c r="C49" i="35"/>
  <c r="I31" i="35"/>
  <c r="I33" i="35" s="1"/>
  <c r="D46" i="35" s="1"/>
  <c r="C55" i="35" s="1"/>
  <c r="I25" i="35"/>
  <c r="F16" i="35"/>
  <c r="E16" i="35"/>
  <c r="D16" i="35"/>
  <c r="C16" i="35"/>
  <c r="F12" i="35"/>
  <c r="E12" i="35"/>
  <c r="D12" i="35"/>
  <c r="O19" i="37" l="1"/>
  <c r="P57" i="37"/>
  <c r="Q11" i="37"/>
  <c r="Q14" i="37" s="1"/>
  <c r="Q15" i="37" s="1"/>
  <c r="Q19" i="37" s="1"/>
  <c r="P14" i="37"/>
  <c r="P15" i="37" s="1"/>
  <c r="M17" i="37"/>
  <c r="J11" i="35"/>
  <c r="K11" i="35" s="1"/>
  <c r="L11" i="35" s="1"/>
  <c r="P19" i="37" l="1"/>
  <c r="Q57" i="37"/>
  <c r="N17" i="37"/>
  <c r="G17" i="34" l="1"/>
  <c r="P17" i="37"/>
  <c r="E62" i="37" s="1"/>
  <c r="O17" i="37"/>
  <c r="G12" i="34" l="1"/>
  <c r="E12" i="34"/>
  <c r="F12" i="34"/>
  <c r="D12" i="34"/>
  <c r="C16" i="34" l="1"/>
  <c r="F16" i="34"/>
  <c r="E16" i="34"/>
  <c r="D16" i="34"/>
  <c r="I33" i="34" l="1"/>
  <c r="D46" i="34" s="1"/>
  <c r="I25" i="34"/>
  <c r="H14" i="35" l="1"/>
  <c r="H15" i="35" s="1"/>
  <c r="G14" i="35"/>
  <c r="G15" i="35" s="1"/>
  <c r="G17" i="35" s="1"/>
  <c r="I14" i="35" l="1"/>
  <c r="I15" i="35" s="1"/>
  <c r="I57" i="35" l="1"/>
  <c r="H19" i="35"/>
  <c r="H17" i="35"/>
  <c r="H16" i="35"/>
  <c r="H57" i="35"/>
  <c r="G19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Q19" i="35" s="1"/>
  <c r="P14" i="35"/>
  <c r="P15" i="35" s="1"/>
  <c r="D42" i="35" l="1"/>
  <c r="D40" i="35"/>
  <c r="D41" i="35"/>
  <c r="P19" i="35"/>
  <c r="P17" i="35"/>
  <c r="E62" i="35" s="1"/>
  <c r="Q57" i="35"/>
  <c r="D57" i="35" s="1"/>
  <c r="D43" i="35"/>
  <c r="D44" i="35"/>
  <c r="D49" i="35" l="1"/>
  <c r="D51" i="35" s="1"/>
  <c r="D53" i="35" s="1"/>
  <c r="E66" i="35"/>
  <c r="E68" i="35" s="1"/>
  <c r="E70" i="35" l="1"/>
  <c r="E74" i="35" s="1"/>
  <c r="D52" i="35" l="1"/>
  <c r="E72" i="35"/>
  <c r="J14" i="34" l="1"/>
  <c r="J15" i="34" s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P17" i="34" l="1"/>
  <c r="E62" i="34" s="1"/>
  <c r="P19" i="34"/>
  <c r="Q19" i="34"/>
  <c r="Q57" i="34"/>
  <c r="G19" i="34" l="1"/>
  <c r="H57" i="34"/>
  <c r="D57" i="34" s="1"/>
  <c r="J57" i="34"/>
  <c r="I17" i="34"/>
  <c r="I19" i="34"/>
  <c r="D49" i="34" s="1"/>
  <c r="D51" i="34" s="1"/>
  <c r="G15" i="37"/>
  <c r="H57" i="37" s="1"/>
  <c r="D57" i="37" s="1"/>
  <c r="I57" i="34"/>
  <c r="H19" i="34"/>
  <c r="H17" i="34"/>
  <c r="I17" i="37"/>
  <c r="I19" i="37"/>
  <c r="J57" i="37"/>
  <c r="I16" i="34"/>
  <c r="I15" i="37"/>
  <c r="I16" i="37" s="1"/>
  <c r="D40" i="34"/>
  <c r="D43" i="34"/>
  <c r="D42" i="34"/>
  <c r="D41" i="34"/>
  <c r="G16" i="34"/>
  <c r="D44" i="34"/>
  <c r="H16" i="34"/>
  <c r="H15" i="37"/>
  <c r="H17" i="37" s="1"/>
  <c r="I57" i="37"/>
  <c r="E66" i="34" l="1"/>
  <c r="E68" i="34" s="1"/>
  <c r="D53" i="34"/>
  <c r="D52" i="34"/>
  <c r="D42" i="37"/>
  <c r="G17" i="37"/>
  <c r="E66" i="37" s="1"/>
  <c r="G16" i="37"/>
  <c r="D40" i="37"/>
  <c r="G19" i="37"/>
  <c r="H16" i="37"/>
  <c r="H19" i="37"/>
  <c r="D43" i="37"/>
  <c r="D41" i="37"/>
  <c r="D44" i="37"/>
  <c r="E70" i="34" l="1"/>
  <c r="E74" i="34" s="1"/>
  <c r="E68" i="37"/>
  <c r="E70" i="37" s="1"/>
  <c r="D49" i="37"/>
  <c r="D51" i="37" s="1"/>
  <c r="E72" i="34" l="1"/>
  <c r="E74" i="37"/>
  <c r="E72" i="37"/>
  <c r="D53" i="37"/>
  <c r="D52" i="37"/>
</calcChain>
</file>

<file path=xl/sharedStrings.xml><?xml version="1.0" encoding="utf-8"?>
<sst xmlns="http://schemas.openxmlformats.org/spreadsheetml/2006/main" count="126" uniqueCount="42">
  <si>
    <t>Bewertung</t>
  </si>
  <si>
    <t>Umsatz-Wachstum, %</t>
  </si>
  <si>
    <t>Unterbewertung</t>
  </si>
  <si>
    <t>Fairer Wert</t>
  </si>
  <si>
    <t>Umsatz</t>
  </si>
  <si>
    <t>Verhältnis EBIT zu Konzerngewinn:</t>
  </si>
  <si>
    <t>EK Quote:</t>
  </si>
  <si>
    <t>Vereinfachter WACC:</t>
  </si>
  <si>
    <t>Schätzungen »</t>
  </si>
  <si>
    <t>Discounted Net-Profit Modell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</si>
  <si>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</si>
  <si>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</si>
  <si>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</si>
  <si>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</si>
  <si>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</si>
  <si>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</si>
  <si>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</si>
  <si>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</si>
  <si>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</si>
  <si>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</si>
  <si>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</si>
  <si>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</si>
  <si>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</si>
  <si>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</si>
  <si>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</si>
  <si>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</si>
  <si>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</si>
  <si>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</si>
  <si>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</si>
  <si>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</si>
  <si>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</si>
  <si>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</si>
  <si>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</si>
  <si>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</si>
  <si>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</si>
  <si>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</si>
  <si>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</si>
  <si>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Quellensteuer USA (15 %)</t>
  </si>
  <si>
    <t>Marktkapitalisierung, Mrd.</t>
  </si>
  <si>
    <t>Anzahl Aktien gesamt, Mrd.</t>
  </si>
  <si>
    <t xml:space="preserve"> Annahmen für Hershey</t>
  </si>
  <si>
    <t>Alle Angaben in Mrd.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</si>
</sst>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10" fontId="0" fillId="10" borderId="12" xfId="1" applyNumberFormat="1" applyFont="1" applyFill="1" applyBorder="1"/>
    <xf numFmtId="10" fontId="0" fillId="10" borderId="13" xfId="1" applyNumberFormat="1" applyFont="1" applyFill="1" applyBorder="1"/>
    <xf numFmtId="0" fontId="0" fillId="2" borderId="14" xfId="0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4A0DA5-2A72-8643-BB10-9949072F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1:AB75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40</v>
      </c>
    </row>
    <row r="5" spans="1:28" x14ac:dyDescent="0.2"/>
    <row r="6" spans="1:28" x14ac:dyDescent="0.2">
      <c r="B6" s="1" t="s">
        <v>41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2019</v>
      </c>
      <c r="D10" s="11">
        <f>C10+1</f>
        <v>2020</v>
      </c>
      <c r="E10" s="11">
        <f>D10+1</f>
        <v>2021</v>
      </c>
      <c r="F10" s="11">
        <f>E10+1</f>
        <v>2022</v>
      </c>
      <c r="G10" s="55">
        <f>F10+1</f>
        <v>2023</v>
      </c>
      <c r="H10" s="55">
        <f t="shared" ref="H10:P10" si="0">G10+1</f>
        <v>2024</v>
      </c>
      <c r="I10" s="55">
        <f t="shared" si="0"/>
        <v>2025</v>
      </c>
      <c r="J10" s="55">
        <f t="shared" si="0"/>
        <v>2026</v>
      </c>
      <c r="K10" s="55">
        <f t="shared" si="0"/>
        <v>2027</v>
      </c>
      <c r="L10" s="55">
        <f t="shared" si="0"/>
        <v>2028</v>
      </c>
      <c r="M10" s="55">
        <f t="shared" si="0"/>
        <v>2029</v>
      </c>
      <c r="N10" s="55">
        <f t="shared" si="0"/>
        <v>2030</v>
      </c>
      <c r="O10" s="55">
        <f t="shared" si="0"/>
        <v>2031</v>
      </c>
      <c r="P10" s="55">
        <f t="shared" si="0"/>
        <v>2032</v>
      </c>
      <c r="Q10" s="55" t="str">
        <f>P10+1&amp;"ff."</f>
        <v>2033ff.</v>
      </c>
    </row>
    <row r="11" spans="1:28" x14ac:dyDescent="0.2">
      <c r="A11" s="5"/>
      <c r="B11" s="4" t="s">
        <v>4</v>
      </c>
      <c r="C11" s="82">
        <v>7.9862520000000004</v>
      </c>
      <c r="D11" s="82">
        <v>8.1497189999999993</v>
      </c>
      <c r="E11" s="82">
        <v>8.9713370000000001</v>
      </c>
      <c r="F11" s="82">
        <v>10.419294000000001</v>
      </c>
      <c r="G11" s="72">
        <v>11.25535</v>
      </c>
      <c r="H11" s="72">
        <v>11.710649999999999</v>
      </c>
      <c r="I11" s="72">
        <v>12.103339999999999</v>
      </c>
      <c r="J11" s="72">
        <f>I11*(1+J12)</f>
        <v>12.466440199999999</v>
      </c>
      <c r="K11" s="72">
        <f>J11*(1+K12)</f>
        <v>12.715769004</v>
      </c>
      <c r="L11" s="72">
        <f t="shared" ref="L11:Q11" si="1">K11*(1+L12)</f>
        <v>12.97008438408</v>
      </c>
      <c r="M11" s="72">
        <f t="shared" si="1"/>
        <v>13.229486071761601</v>
      </c>
      <c r="N11" s="72">
        <f t="shared" si="1"/>
        <v>13.494075793196833</v>
      </c>
      <c r="O11" s="72">
        <f t="shared" si="1"/>
        <v>13.763957309060769</v>
      </c>
      <c r="P11" s="72">
        <f t="shared" si="1"/>
        <v>14.039236455241985</v>
      </c>
      <c r="Q11" s="72">
        <f t="shared" si="1"/>
        <v>14.249825002070613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2.0468550203524671E-2</v>
      </c>
      <c r="E12" s="89">
        <f t="shared" si="2"/>
        <v>0.10081550050989496</v>
      </c>
      <c r="F12" s="89">
        <f t="shared" si="2"/>
        <v>0.16139812828344313</v>
      </c>
      <c r="G12" s="85">
        <f t="shared" si="2"/>
        <v>8.0241137259395856E-2</v>
      </c>
      <c r="H12" s="85">
        <f t="shared" si="2"/>
        <v>4.0451873997698895E-2</v>
      </c>
      <c r="I12" s="85">
        <f t="shared" si="2"/>
        <v>3.3532724485831222E-2</v>
      </c>
      <c r="J12" s="85">
        <v>0.03</v>
      </c>
      <c r="K12" s="71">
        <v>0.02</v>
      </c>
      <c r="L12" s="71">
        <v>0.02</v>
      </c>
      <c r="M12" s="71">
        <v>0.02</v>
      </c>
      <c r="N12" s="71">
        <v>0.02</v>
      </c>
      <c r="O12" s="71">
        <v>0.02</v>
      </c>
      <c r="P12" s="71">
        <v>0.02</v>
      </c>
      <c r="Q12" s="12">
        <v>1.4999999999999999E-2</v>
      </c>
    </row>
    <row r="13" spans="1:28" ht="16" customHeight="1" x14ac:dyDescent="0.2">
      <c r="A13" s="5"/>
      <c r="B13" s="4" t="s">
        <v>13</v>
      </c>
      <c r="C13" s="88">
        <f>C14/C11</f>
        <v>0.19983742060731366</v>
      </c>
      <c r="D13" s="88">
        <f t="shared" ref="D13:F13" si="3">D14/D11</f>
        <v>0.21874349287380337</v>
      </c>
      <c r="E13" s="88">
        <f t="shared" si="3"/>
        <v>0.22780573285787836</v>
      </c>
      <c r="F13" s="88">
        <f t="shared" si="3"/>
        <v>0.21698082422858977</v>
      </c>
      <c r="G13" s="84">
        <f>G14/G11</f>
        <v>0.23669999999999999</v>
      </c>
      <c r="H13" s="84">
        <f t="shared" ref="H13:I13" si="4">H14/H11</f>
        <v>0.24160000000000001</v>
      </c>
      <c r="I13" s="84">
        <f t="shared" si="4"/>
        <v>0.24440000000000003</v>
      </c>
      <c r="J13" s="84">
        <v>0.24</v>
      </c>
      <c r="K13" s="84">
        <v>0.23499999999999999</v>
      </c>
      <c r="L13" s="84">
        <v>0.23</v>
      </c>
      <c r="M13" s="84">
        <v>0.22500000000000001</v>
      </c>
      <c r="N13" s="84">
        <v>0.22500000000000001</v>
      </c>
      <c r="O13" s="84">
        <v>0.22500000000000001</v>
      </c>
      <c r="P13" s="84">
        <v>0.22500000000000001</v>
      </c>
      <c r="Q13" s="84">
        <v>0.22</v>
      </c>
    </row>
    <row r="14" spans="1:28" ht="17.25" customHeight="1" x14ac:dyDescent="0.2">
      <c r="A14" s="5"/>
      <c r="B14" s="4" t="s">
        <v>14</v>
      </c>
      <c r="C14" s="82">
        <v>1.595952</v>
      </c>
      <c r="D14" s="82">
        <v>1.7826979999999999</v>
      </c>
      <c r="E14" s="82">
        <v>2.0437219999999998</v>
      </c>
      <c r="F14" s="82">
        <v>2.2607870000000001</v>
      </c>
      <c r="G14" s="72">
        <v>2.664141345</v>
      </c>
      <c r="H14" s="72">
        <v>2.82929304</v>
      </c>
      <c r="I14" s="72">
        <v>2.9580562960000001</v>
      </c>
      <c r="J14" s="72">
        <f>J11*J13</f>
        <v>2.9919456479999997</v>
      </c>
      <c r="K14" s="72">
        <f t="shared" ref="K14:Q14" si="5">K11*K13</f>
        <v>2.98820571594</v>
      </c>
      <c r="L14" s="72">
        <f t="shared" si="5"/>
        <v>2.9831194083384003</v>
      </c>
      <c r="M14" s="72">
        <f t="shared" si="5"/>
        <v>2.9766343661463601</v>
      </c>
      <c r="N14" s="72">
        <f t="shared" si="5"/>
        <v>3.0361670534692875</v>
      </c>
      <c r="O14" s="72">
        <f t="shared" si="5"/>
        <v>3.096890394538673</v>
      </c>
      <c r="P14" s="72">
        <f>P11*P13</f>
        <v>3.1588282024294467</v>
      </c>
      <c r="Q14" s="72">
        <f t="shared" si="5"/>
        <v>3.1349615004555349</v>
      </c>
    </row>
    <row r="15" spans="1:28" x14ac:dyDescent="0.2">
      <c r="A15" s="100">
        <v>0.2</v>
      </c>
      <c r="B15" s="4" t="s">
        <v>36</v>
      </c>
      <c r="C15" s="82">
        <v>1.1496919999999999</v>
      </c>
      <c r="D15" s="82">
        <v>1.278708</v>
      </c>
      <c r="E15" s="82">
        <v>1.4775119999999999</v>
      </c>
      <c r="F15" s="82">
        <v>1.644817</v>
      </c>
      <c r="G15" s="72">
        <v>1.96068197</v>
      </c>
      <c r="H15" s="72">
        <v>2.1020616749999999</v>
      </c>
      <c r="I15" s="72">
        <v>2.2258042260000002</v>
      </c>
      <c r="J15" s="72">
        <f>J14*(1-$A$15)</f>
        <v>2.3935565184000001</v>
      </c>
      <c r="K15" s="72">
        <f>K14*(1-$A$15)</f>
        <v>2.390564572752</v>
      </c>
      <c r="L15" s="72">
        <f t="shared" ref="L15:Q15" si="6">L14*(1-$A$15)</f>
        <v>2.3864955266707204</v>
      </c>
      <c r="M15" s="72">
        <f t="shared" si="6"/>
        <v>2.3813074929170881</v>
      </c>
      <c r="N15" s="72">
        <f t="shared" si="6"/>
        <v>2.42893364277543</v>
      </c>
      <c r="O15" s="72">
        <f t="shared" si="6"/>
        <v>2.4775123156309387</v>
      </c>
      <c r="P15" s="72">
        <f>P14*(1-$A$15)</f>
        <v>2.5270625619435574</v>
      </c>
      <c r="Q15" s="72">
        <f t="shared" si="6"/>
        <v>2.5079692003644283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0.72038006155573597</v>
      </c>
      <c r="D16" s="15">
        <f t="shared" si="7"/>
        <v>0.71728806561739566</v>
      </c>
      <c r="E16" s="15">
        <f t="shared" si="7"/>
        <v>0.72295155603355055</v>
      </c>
      <c r="F16" s="15">
        <f t="shared" si="7"/>
        <v>0.72754178080464893</v>
      </c>
      <c r="G16" s="15">
        <f t="shared" si="7"/>
        <v>0.73595268272074355</v>
      </c>
      <c r="H16" s="15">
        <f t="shared" si="7"/>
        <v>0.74296357615894038</v>
      </c>
      <c r="I16" s="15">
        <f t="shared" si="7"/>
        <v>0.75245499181669395</v>
      </c>
      <c r="J16" s="15">
        <f t="shared" si="7"/>
        <v>0.8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9.5891923277246036</v>
      </c>
      <c r="H17" s="72">
        <f t="shared" ref="H17:P17" si="8">H15/H18</f>
        <v>10.384489072047819</v>
      </c>
      <c r="I17" s="72">
        <f t="shared" si="8"/>
        <v>11.106863831342121</v>
      </c>
      <c r="J17" s="72">
        <f t="shared" si="8"/>
        <v>12.064601376935299</v>
      </c>
      <c r="K17" s="72">
        <f t="shared" si="8"/>
        <v>12.171232954761747</v>
      </c>
      <c r="L17" s="72">
        <f t="shared" si="8"/>
        <v>12.273248446968005</v>
      </c>
      <c r="M17" s="72">
        <f t="shared" si="8"/>
        <v>12.370270173821504</v>
      </c>
      <c r="N17" s="72">
        <f t="shared" si="8"/>
        <v>12.745126845755491</v>
      </c>
      <c r="O17" s="72">
        <f t="shared" si="8"/>
        <v>13.131342810778385</v>
      </c>
      <c r="P17" s="72">
        <f t="shared" si="8"/>
        <v>13.529262289892882</v>
      </c>
      <c r="Q17" s="72"/>
    </row>
    <row r="18" spans="1:18" ht="35" thickBot="1" x14ac:dyDescent="0.25">
      <c r="A18" s="2" t="s">
        <v>35</v>
      </c>
      <c r="C18" s="82"/>
      <c r="D18" s="82"/>
      <c r="E18" s="82"/>
      <c r="F18" s="82"/>
      <c r="G18" s="72">
        <f>C50</f>
        <v>0.20446789500000001</v>
      </c>
      <c r="H18" s="72">
        <f>G18*0.99</f>
        <v>0.20242321605000002</v>
      </c>
      <c r="I18" s="72">
        <f t="shared" ref="I18:P18" si="9">H18*0.99</f>
        <v>0.20039898388950003</v>
      </c>
      <c r="J18" s="72">
        <f t="shared" si="9"/>
        <v>0.19839499405060504</v>
      </c>
      <c r="K18" s="72">
        <f t="shared" si="9"/>
        <v>0.19641104411009899</v>
      </c>
      <c r="L18" s="72">
        <f t="shared" si="9"/>
        <v>0.19444693366899801</v>
      </c>
      <c r="M18" s="72">
        <f t="shared" si="9"/>
        <v>0.19250246433230803</v>
      </c>
      <c r="N18" s="72">
        <f t="shared" si="9"/>
        <v>0.19057743968898494</v>
      </c>
      <c r="O18" s="72">
        <f t="shared" si="9"/>
        <v>0.18867166529209509</v>
      </c>
      <c r="P18" s="72">
        <f t="shared" si="9"/>
        <v>0.18678494863917414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1.7836542824653172</v>
      </c>
      <c r="H19" s="53">
        <f>H15/(1+$C$55)^2</f>
        <v>1.7396124438018785</v>
      </c>
      <c r="I19" s="53">
        <f>I15/(1+$C$55)^3</f>
        <v>1.675704900654958</v>
      </c>
      <c r="J19" s="53">
        <f>J15/(1+$C$55)^4</f>
        <v>1.6392975493995026</v>
      </c>
      <c r="K19" s="53">
        <f>K15/(1+$C$55)^5</f>
        <v>1.4894231771323658</v>
      </c>
      <c r="L19" s="53">
        <f>L15/(1+$C$55)^6</f>
        <v>1.3526386070009164</v>
      </c>
      <c r="M19" s="53">
        <f>M15/(1+$C$55)^7</f>
        <v>1.2278354225972661</v>
      </c>
      <c r="N19" s="53">
        <f>N15/(1+$C$55)^8</f>
        <v>1.1393151067084026</v>
      </c>
      <c r="O19" s="53">
        <f>O15/(1+$C$55)^9</f>
        <v>1.0571766284672008</v>
      </c>
      <c r="P19" s="53">
        <f>P15/(1+$C$55)^10</f>
        <v>0.98095989177761633</v>
      </c>
      <c r="Q19" s="54">
        <f>(Q15/(C55-Q12))/(1+C55)^10</f>
        <v>11.55546818774503</v>
      </c>
    </row>
    <row r="20" spans="1:18" x14ac:dyDescent="0.2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6.1750000000000013E-2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9.9250000000000005E-2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9.9250000000000005E-2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v>45184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38</v>
      </c>
      <c r="C49" s="56">
        <f>C50*C51</f>
        <v>43.420802182200006</v>
      </c>
      <c r="D49" s="47">
        <f>SUM(G19:Q19)</f>
        <v>25.641086197750454</v>
      </c>
      <c r="E49" s="46"/>
    </row>
    <row r="50" spans="1:17" x14ac:dyDescent="0.2">
      <c r="A50" s="45"/>
      <c r="B50" s="46" t="s">
        <v>39</v>
      </c>
      <c r="C50" s="56">
        <f>(0.149854381+0.054613514)</f>
        <v>0.20446789500000001</v>
      </c>
      <c r="D50" s="56">
        <f>C50</f>
        <v>0.20446789500000001</v>
      </c>
      <c r="E50" s="46"/>
    </row>
    <row r="51" spans="1:17" x14ac:dyDescent="0.2">
      <c r="A51" s="45"/>
      <c r="B51" s="46" t="s">
        <v>11</v>
      </c>
      <c r="C51" s="87">
        <v>212.36</v>
      </c>
      <c r="D51" s="56">
        <f>D49/(D50)</f>
        <v>125.40397208936128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0.69340728576503929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9.9250000000000005E-2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22313.139551231608</v>
      </c>
      <c r="E57" s="46"/>
      <c r="F57" s="1" t="s">
        <v>21</v>
      </c>
      <c r="H57" s="1">
        <f>G15/(1+$B$57)</f>
        <v>1.7695685649819493</v>
      </c>
      <c r="I57" s="1">
        <f>H15/(1+$B$57)^2</f>
        <v>1.7122451053382679</v>
      </c>
      <c r="J57" s="1">
        <f>I15/(1+$B$57)^3</f>
        <v>1.6363179008445163</v>
      </c>
      <c r="K57" s="1">
        <f>J15/(1+$B$57)^4</f>
        <v>1.5881248641596704</v>
      </c>
      <c r="L57" s="1">
        <f>K15/(1+$B$57)^5</f>
        <v>1.4315340325626991</v>
      </c>
      <c r="M57" s="1">
        <f>L15/(1+$B$57)^6</f>
        <v>1.2897990784208051</v>
      </c>
      <c r="N57" s="1">
        <f>M15/(1+$B$57)^7</f>
        <v>1.1615479850006856</v>
      </c>
      <c r="O57" s="1">
        <f>N15/(1+$B$57)^8</f>
        <v>1.0692950764446743</v>
      </c>
      <c r="P57" s="1">
        <f>O15/(1+$B$57)^9</f>
        <v>0.98436911369455549</v>
      </c>
      <c r="Q57" s="1">
        <f>(Q15/(B57-Q12))/(1+B57)^10</f>
        <v>9.6703378297837865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19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257.05598350796475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59.682815065013934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-8.9524222597520904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307.78637631322658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0.44936135012820944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5">
        <f>(E70/C51)^(1/10)-1</f>
        <v>3.7809561472310182E-2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89AB-A969-864E-B80B-9176CDCA58C7}">
  <dimension ref="A1:AB75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40</v>
      </c>
    </row>
    <row r="5" spans="1:28" x14ac:dyDescent="0.2"/>
    <row r="6" spans="1:28" x14ac:dyDescent="0.2">
      <c r="B6" s="1" t="s">
        <v>41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2019</v>
      </c>
      <c r="D10" s="11">
        <f>C10+1</f>
        <v>2020</v>
      </c>
      <c r="E10" s="11">
        <f>D10+1</f>
        <v>2021</v>
      </c>
      <c r="F10" s="11">
        <f>E10+1</f>
        <v>2022</v>
      </c>
      <c r="G10" s="55">
        <f>F10+1</f>
        <v>2023</v>
      </c>
      <c r="H10" s="55">
        <f t="shared" ref="H10:P10" si="0">G10+1</f>
        <v>2024</v>
      </c>
      <c r="I10" s="55">
        <f t="shared" si="0"/>
        <v>2025</v>
      </c>
      <c r="J10" s="55">
        <f t="shared" si="0"/>
        <v>2026</v>
      </c>
      <c r="K10" s="55">
        <f t="shared" si="0"/>
        <v>2027</v>
      </c>
      <c r="L10" s="55">
        <f t="shared" si="0"/>
        <v>2028</v>
      </c>
      <c r="M10" s="55">
        <f t="shared" si="0"/>
        <v>2029</v>
      </c>
      <c r="N10" s="55">
        <f t="shared" si="0"/>
        <v>2030</v>
      </c>
      <c r="O10" s="55">
        <f t="shared" si="0"/>
        <v>2031</v>
      </c>
      <c r="P10" s="55">
        <f t="shared" si="0"/>
        <v>2032</v>
      </c>
      <c r="Q10" s="55" t="str">
        <f>P10+1&amp;"ff."</f>
        <v>2033ff.</v>
      </c>
    </row>
    <row r="11" spans="1:28" x14ac:dyDescent="0.2">
      <c r="A11" s="5"/>
      <c r="B11" s="4" t="s">
        <v>4</v>
      </c>
      <c r="C11" s="82">
        <f>Pessimistisch!C$11</f>
        <v>7.9862520000000004</v>
      </c>
      <c r="D11" s="82">
        <f>Pessimistisch!D$11</f>
        <v>8.1497189999999993</v>
      </c>
      <c r="E11" s="82">
        <f>Pessimistisch!E$11</f>
        <v>8.9713370000000001</v>
      </c>
      <c r="F11" s="82">
        <f>Pessimistisch!F$11</f>
        <v>10.419294000000001</v>
      </c>
      <c r="G11" s="72">
        <f>Pessimistisch!G11</f>
        <v>11.25535</v>
      </c>
      <c r="H11" s="72">
        <f>Pessimistisch!H11</f>
        <v>11.710649999999999</v>
      </c>
      <c r="I11" s="72">
        <f>Pessimistisch!I11</f>
        <v>12.103339999999999</v>
      </c>
      <c r="J11" s="72">
        <f>I11*(1+J12)</f>
        <v>12.587473599999999</v>
      </c>
      <c r="K11" s="72">
        <f>J11*(1+K12)</f>
        <v>13.090972544</v>
      </c>
      <c r="L11" s="72">
        <f t="shared" ref="L11:Q11" si="1">K11*(1+L12)</f>
        <v>13.61461144576</v>
      </c>
      <c r="M11" s="72">
        <f t="shared" si="1"/>
        <v>14.159195903590399</v>
      </c>
      <c r="N11" s="72">
        <f t="shared" si="1"/>
        <v>14.725563739734016</v>
      </c>
      <c r="O11" s="72">
        <f t="shared" si="1"/>
        <v>15.240958470624705</v>
      </c>
      <c r="P11" s="72">
        <f t="shared" si="1"/>
        <v>15.698187224743446</v>
      </c>
      <c r="Q11" s="72">
        <f t="shared" si="1"/>
        <v>16.012150969238316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2.0468550203524671E-2</v>
      </c>
      <c r="E12" s="89">
        <f t="shared" si="2"/>
        <v>0.10081550050989496</v>
      </c>
      <c r="F12" s="89">
        <f t="shared" si="2"/>
        <v>0.16139812828344313</v>
      </c>
      <c r="G12" s="85">
        <f t="shared" si="2"/>
        <v>8.0241137259395856E-2</v>
      </c>
      <c r="H12" s="85">
        <f t="shared" si="2"/>
        <v>4.0451873997698895E-2</v>
      </c>
      <c r="I12" s="85">
        <f t="shared" si="2"/>
        <v>3.3532724485831222E-2</v>
      </c>
      <c r="J12" s="85">
        <v>0.04</v>
      </c>
      <c r="K12" s="71">
        <v>0.04</v>
      </c>
      <c r="L12" s="71">
        <v>0.04</v>
      </c>
      <c r="M12" s="71">
        <v>0.04</v>
      </c>
      <c r="N12" s="71">
        <v>0.04</v>
      </c>
      <c r="O12" s="71">
        <v>3.5000000000000003E-2</v>
      </c>
      <c r="P12" s="71">
        <v>0.03</v>
      </c>
      <c r="Q12" s="12">
        <v>0.02</v>
      </c>
    </row>
    <row r="13" spans="1:28" ht="16" customHeight="1" x14ac:dyDescent="0.2">
      <c r="A13" s="5"/>
      <c r="B13" s="4" t="s">
        <v>13</v>
      </c>
      <c r="C13" s="88">
        <f>C14/C11</f>
        <v>0.19983742060731366</v>
      </c>
      <c r="D13" s="88">
        <f t="shared" ref="D13:F13" si="3">D14/D11</f>
        <v>0.21874349287380337</v>
      </c>
      <c r="E13" s="88">
        <f t="shared" si="3"/>
        <v>0.22780573285787836</v>
      </c>
      <c r="F13" s="88">
        <f t="shared" si="3"/>
        <v>0.21698082422858977</v>
      </c>
      <c r="G13" s="84">
        <f>G14/G11</f>
        <v>0.23669999999999999</v>
      </c>
      <c r="H13" s="84">
        <f t="shared" ref="H13:I13" si="4">H14/H11</f>
        <v>0.24160000000000001</v>
      </c>
      <c r="I13" s="84">
        <f t="shared" si="4"/>
        <v>0.24440000000000003</v>
      </c>
      <c r="J13" s="84">
        <v>0.25</v>
      </c>
      <c r="K13" s="84">
        <v>0.255</v>
      </c>
      <c r="L13" s="84">
        <v>0.255</v>
      </c>
      <c r="M13" s="84">
        <v>0.255</v>
      </c>
      <c r="N13" s="84">
        <v>0.26</v>
      </c>
      <c r="O13" s="84">
        <v>0.26</v>
      </c>
      <c r="P13" s="84">
        <v>0.26500000000000001</v>
      </c>
      <c r="Q13" s="84">
        <v>0.26500000000000001</v>
      </c>
    </row>
    <row r="14" spans="1:28" ht="17.25" customHeight="1" x14ac:dyDescent="0.2">
      <c r="A14" s="5"/>
      <c r="B14" s="4" t="s">
        <v>14</v>
      </c>
      <c r="C14" s="82">
        <f>Pessimistisch!C14</f>
        <v>1.595952</v>
      </c>
      <c r="D14" s="82">
        <f>Pessimistisch!D14</f>
        <v>1.7826979999999999</v>
      </c>
      <c r="E14" s="82">
        <f>Pessimistisch!E14</f>
        <v>2.0437219999999998</v>
      </c>
      <c r="F14" s="82">
        <f>Pessimistisch!F14</f>
        <v>2.2607870000000001</v>
      </c>
      <c r="G14" s="72">
        <f>Pessimistisch!G14</f>
        <v>2.664141345</v>
      </c>
      <c r="H14" s="72">
        <f>Pessimistisch!H14</f>
        <v>2.82929304</v>
      </c>
      <c r="I14" s="72">
        <f>Pessimistisch!I14</f>
        <v>2.9580562960000001</v>
      </c>
      <c r="J14" s="72">
        <f>J11*J13</f>
        <v>3.1468683999999998</v>
      </c>
      <c r="K14" s="72">
        <f t="shared" ref="K14:Q14" si="5">K11*K13</f>
        <v>3.3381979987200001</v>
      </c>
      <c r="L14" s="72">
        <f t="shared" si="5"/>
        <v>3.4717259186687999</v>
      </c>
      <c r="M14" s="72">
        <f t="shared" si="5"/>
        <v>3.6105949554155519</v>
      </c>
      <c r="N14" s="72">
        <f t="shared" si="5"/>
        <v>3.828646572330844</v>
      </c>
      <c r="O14" s="72">
        <f t="shared" si="5"/>
        <v>3.9626492023624231</v>
      </c>
      <c r="P14" s="72">
        <f>P11*P13</f>
        <v>4.1600196145570134</v>
      </c>
      <c r="Q14" s="72">
        <f t="shared" si="5"/>
        <v>4.243220006848154</v>
      </c>
    </row>
    <row r="15" spans="1:28" x14ac:dyDescent="0.2">
      <c r="A15" s="100">
        <v>0.15</v>
      </c>
      <c r="B15" s="4" t="s">
        <v>36</v>
      </c>
      <c r="C15" s="82">
        <f>Pessimistisch!C15</f>
        <v>1.1496919999999999</v>
      </c>
      <c r="D15" s="82">
        <f>Pessimistisch!D15</f>
        <v>1.278708</v>
      </c>
      <c r="E15" s="82">
        <f>Pessimistisch!E15</f>
        <v>1.4775119999999999</v>
      </c>
      <c r="F15" s="82">
        <f>Pessimistisch!F15</f>
        <v>1.644817</v>
      </c>
      <c r="G15" s="72">
        <f>Pessimistisch!G15</f>
        <v>1.96068197</v>
      </c>
      <c r="H15" s="72">
        <f>Pessimistisch!H15</f>
        <v>2.1020616749999999</v>
      </c>
      <c r="I15" s="72">
        <f>Pessimistisch!I15</f>
        <v>2.2258042260000002</v>
      </c>
      <c r="J15" s="72">
        <f>J14*(1-$A$15)</f>
        <v>2.6748381399999999</v>
      </c>
      <c r="K15" s="72">
        <f>K14*(1-$A$15)</f>
        <v>2.8374682989119999</v>
      </c>
      <c r="L15" s="72">
        <f t="shared" ref="L15:Q15" si="6">L14*(1-$A$15)</f>
        <v>2.9509670308684797</v>
      </c>
      <c r="M15" s="72">
        <f t="shared" si="6"/>
        <v>3.0690057121032188</v>
      </c>
      <c r="N15" s="72">
        <f t="shared" si="6"/>
        <v>3.2543495864812173</v>
      </c>
      <c r="O15" s="72">
        <f t="shared" si="6"/>
        <v>3.3682518220080597</v>
      </c>
      <c r="P15" s="72">
        <f>P14*(1-$A$15)</f>
        <v>3.5360166723734614</v>
      </c>
      <c r="Q15" s="72">
        <f t="shared" si="6"/>
        <v>3.6067370058209307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0.72038006155573597</v>
      </c>
      <c r="D16" s="15">
        <f t="shared" si="7"/>
        <v>0.71728806561739566</v>
      </c>
      <c r="E16" s="15">
        <f t="shared" si="7"/>
        <v>0.72295155603355055</v>
      </c>
      <c r="F16" s="15">
        <f t="shared" si="7"/>
        <v>0.72754178080464893</v>
      </c>
      <c r="G16" s="15">
        <f t="shared" si="7"/>
        <v>0.73595268272074355</v>
      </c>
      <c r="H16" s="15">
        <f t="shared" si="7"/>
        <v>0.74296357615894038</v>
      </c>
      <c r="I16" s="15">
        <f t="shared" si="7"/>
        <v>0.75245499181669395</v>
      </c>
      <c r="J16" s="15">
        <f t="shared" si="7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9.5891923277246036</v>
      </c>
      <c r="H17" s="72">
        <f t="shared" ref="H17:P17" si="8">H15/H18</f>
        <v>10.384489072047819</v>
      </c>
      <c r="I17" s="72">
        <f t="shared" si="8"/>
        <v>11.106863831342121</v>
      </c>
      <c r="J17" s="72">
        <f t="shared" si="8"/>
        <v>13.482387258812201</v>
      </c>
      <c r="K17" s="72">
        <f t="shared" si="8"/>
        <v>14.446582226412104</v>
      </c>
      <c r="L17" s="72">
        <f t="shared" si="8"/>
        <v>15.176207591382411</v>
      </c>
      <c r="M17" s="72">
        <f t="shared" si="8"/>
        <v>15.94268272226031</v>
      </c>
      <c r="N17" s="72">
        <f t="shared" si="8"/>
        <v>17.076258301046497</v>
      </c>
      <c r="O17" s="72">
        <f t="shared" si="8"/>
        <v>17.852451860184974</v>
      </c>
      <c r="P17" s="72">
        <f t="shared" si="8"/>
        <v>18.930950797348441</v>
      </c>
      <c r="Q17" s="72"/>
    </row>
    <row r="18" spans="1:18" ht="35" thickBot="1" x14ac:dyDescent="0.25">
      <c r="A18" s="2" t="s">
        <v>35</v>
      </c>
      <c r="C18" s="82"/>
      <c r="D18" s="82"/>
      <c r="E18" s="82"/>
      <c r="F18" s="82"/>
      <c r="G18" s="72">
        <f>C50</f>
        <v>0.20446789500000001</v>
      </c>
      <c r="H18" s="72">
        <f>G18*0.99</f>
        <v>0.20242321605000002</v>
      </c>
      <c r="I18" s="72">
        <f t="shared" ref="I18:O18" si="9">H18*0.99</f>
        <v>0.20039898388950003</v>
      </c>
      <c r="J18" s="72">
        <f t="shared" si="9"/>
        <v>0.19839499405060504</v>
      </c>
      <c r="K18" s="72">
        <f t="shared" si="9"/>
        <v>0.19641104411009899</v>
      </c>
      <c r="L18" s="72">
        <f t="shared" si="9"/>
        <v>0.19444693366899801</v>
      </c>
      <c r="M18" s="72">
        <f t="shared" si="9"/>
        <v>0.19250246433230803</v>
      </c>
      <c r="N18" s="72">
        <f t="shared" si="9"/>
        <v>0.19057743968898494</v>
      </c>
      <c r="O18" s="72">
        <f t="shared" si="9"/>
        <v>0.18867166529209509</v>
      </c>
      <c r="P18" s="72">
        <f>O18*0.99</f>
        <v>0.18678494863917414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1.7836542824653172</v>
      </c>
      <c r="H19" s="53">
        <f>H15/(1+$C$55)^2</f>
        <v>1.7396124438018785</v>
      </c>
      <c r="I19" s="53">
        <f>I15/(1+$C$55)^3</f>
        <v>1.675704900654958</v>
      </c>
      <c r="J19" s="53">
        <f>J15/(1+$C$55)^4</f>
        <v>1.8319415373042578</v>
      </c>
      <c r="K19" s="53">
        <f>K15/(1+$C$55)^5</f>
        <v>1.7678631637683482</v>
      </c>
      <c r="L19" s="53">
        <f>L15/(1+$C$55)^6</f>
        <v>1.6725746557371677</v>
      </c>
      <c r="M19" s="53">
        <f>M15/(1+$C$55)^7</f>
        <v>1.5824222351300019</v>
      </c>
      <c r="N19" s="53">
        <f>N15/(1+$C$55)^8</f>
        <v>1.5264845367087274</v>
      </c>
      <c r="O19" s="53">
        <f>O15/(1+$C$55)^9</f>
        <v>1.4372631298553855</v>
      </c>
      <c r="P19" s="53">
        <f>P15/(1+$C$55)^10</f>
        <v>1.3726175934431779</v>
      </c>
      <c r="Q19" s="54">
        <f>(Q15/(C55-Q12))/(1+C55)^10</f>
        <v>17.666497732644057</v>
      </c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6.1750000000000013E-2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9.9250000000000005E-2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9.9250000000000005E-2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1" hidden="1" customHeight="1" x14ac:dyDescent="0.2">
      <c r="A35" s="25"/>
      <c r="G35" s="25"/>
      <c r="J35" s="26"/>
    </row>
    <row r="36" spans="1:10" ht="11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1" hidden="1" customHeight="1" x14ac:dyDescent="0.2">
      <c r="A37" s="25"/>
      <c r="G37" s="25"/>
      <c r="J37" s="26"/>
    </row>
    <row r="38" spans="1:10" ht="11" hidden="1" customHeight="1" x14ac:dyDescent="0.2">
      <c r="A38" s="25"/>
      <c r="G38" s="25"/>
      <c r="J38" s="26"/>
    </row>
    <row r="39" spans="1:10" ht="11" hidden="1" customHeight="1" x14ac:dyDescent="0.2">
      <c r="A39" s="25"/>
      <c r="G39" s="25"/>
      <c r="J39" s="26"/>
    </row>
    <row r="40" spans="1:10" ht="11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t="11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t="11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t="11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t="11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45184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38</v>
      </c>
      <c r="C49" s="56">
        <f>C50*C51</f>
        <v>43.420802182200006</v>
      </c>
      <c r="D49" s="47">
        <f>SUM(G19:Q19)</f>
        <v>34.056636211513279</v>
      </c>
      <c r="E49" s="46"/>
    </row>
    <row r="50" spans="1:17" x14ac:dyDescent="0.2">
      <c r="A50" s="45"/>
      <c r="B50" s="46" t="s">
        <v>39</v>
      </c>
      <c r="C50" s="56">
        <f>Pessimistisch!C50</f>
        <v>0.20446789500000001</v>
      </c>
      <c r="D50" s="56">
        <f>C50</f>
        <v>0.20446789500000001</v>
      </c>
      <c r="E50" s="46"/>
    </row>
    <row r="51" spans="1:17" x14ac:dyDescent="0.2">
      <c r="A51" s="45"/>
      <c r="B51" s="46" t="s">
        <v>11</v>
      </c>
      <c r="C51" s="56">
        <f>Pessimistisch!C51</f>
        <v>212.36</v>
      </c>
      <c r="D51" s="56">
        <f>D49/(D50)</f>
        <v>166.56226744796916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0.27495862810787663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9.9250000000000005E-2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29152.037548170469</v>
      </c>
      <c r="E57" s="46"/>
      <c r="F57" s="1" t="s">
        <v>21</v>
      </c>
      <c r="H57" s="1">
        <f>G15/(1+$B$57)</f>
        <v>1.7695685649819493</v>
      </c>
      <c r="I57" s="1">
        <f>H15/(1+$B$57)^2</f>
        <v>1.7122451053382679</v>
      </c>
      <c r="J57" s="1">
        <f>I15/(1+$B$57)^3</f>
        <v>1.6363179008445163</v>
      </c>
      <c r="K57" s="1">
        <f>J15/(1+$B$57)^4</f>
        <v>1.7747552335117676</v>
      </c>
      <c r="L57" s="1">
        <f>K15/(1+$B$57)^5</f>
        <v>1.6991519419758871</v>
      </c>
      <c r="M57" s="1">
        <f>L15/(1+$B$57)^6</f>
        <v>1.594871858894334</v>
      </c>
      <c r="N57" s="1">
        <f>M15/(1+$B$57)^7</f>
        <v>1.496991636507317</v>
      </c>
      <c r="O57" s="1">
        <f>N15/(1+$B$57)^8</f>
        <v>1.432669846788343</v>
      </c>
      <c r="P57" s="1">
        <f>O15/(1+$B$57)^9</f>
        <v>1.3382791438862227</v>
      </c>
      <c r="Q57" s="1">
        <f>(Q15/(B57-Q12))/(1+B57)^10</f>
        <v>14.697186315441865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25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473.27376993371104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71.994032994280744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-10.79910494914211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534.4686979788496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1.5168049443343832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4">
        <f>(E70/C51)^(1/10)-1</f>
        <v>9.6692708067234179E-2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K9">
    <cfRule type="top10" dxfId="6" priority="4" percent="1" rank="10"/>
  </conditionalFormatting>
  <conditionalFormatting sqref="L2:L5">
    <cfRule type="top10" dxfId="5" priority="3" percent="1" rank="10"/>
  </conditionalFormatting>
  <conditionalFormatting sqref="L6:L8">
    <cfRule type="top10" dxfId="4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1:AB75"/>
  <sheetViews>
    <sheetView tabSelected="1"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40</v>
      </c>
    </row>
    <row r="5" spans="1:28" x14ac:dyDescent="0.2"/>
    <row r="6" spans="1:28" x14ac:dyDescent="0.2">
      <c r="B6" s="1" t="s">
        <v>41</v>
      </c>
    </row>
    <row r="7" spans="1:28" x14ac:dyDescent="0.2"/>
    <row r="8" spans="1:28" x14ac:dyDescent="0.2"/>
    <row r="9" spans="1:28" s="8" customFormat="1" x14ac:dyDescent="0.2">
      <c r="G9" s="9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2019</v>
      </c>
      <c r="D10" s="11">
        <f>C10+1</f>
        <v>2020</v>
      </c>
      <c r="E10" s="11">
        <f t="shared" ref="E10:F10" si="0">D10+1</f>
        <v>2021</v>
      </c>
      <c r="F10" s="11">
        <f t="shared" si="0"/>
        <v>2022</v>
      </c>
      <c r="G10" s="55">
        <f>F10+1</f>
        <v>2023</v>
      </c>
      <c r="H10" s="55">
        <f t="shared" ref="H10:P10" si="1">G10+1</f>
        <v>2024</v>
      </c>
      <c r="I10" s="55">
        <f t="shared" si="1"/>
        <v>2025</v>
      </c>
      <c r="J10" s="55">
        <f t="shared" si="1"/>
        <v>2026</v>
      </c>
      <c r="K10" s="55">
        <f t="shared" si="1"/>
        <v>2027</v>
      </c>
      <c r="L10" s="55">
        <f t="shared" si="1"/>
        <v>2028</v>
      </c>
      <c r="M10" s="55">
        <f t="shared" si="1"/>
        <v>2029</v>
      </c>
      <c r="N10" s="55">
        <f t="shared" si="1"/>
        <v>2030</v>
      </c>
      <c r="O10" s="55">
        <f t="shared" si="1"/>
        <v>2031</v>
      </c>
      <c r="P10" s="55">
        <f t="shared" si="1"/>
        <v>2032</v>
      </c>
      <c r="Q10" s="55" t="str">
        <f>P10+1&amp;"ff."</f>
        <v>2033ff.</v>
      </c>
    </row>
    <row r="11" spans="1:28" x14ac:dyDescent="0.2">
      <c r="A11" s="5"/>
      <c r="B11" s="4" t="s">
        <v>4</v>
      </c>
      <c r="C11" s="82">
        <f>Pessimistisch!C11</f>
        <v>7.9862520000000004</v>
      </c>
      <c r="D11" s="82">
        <f>Pessimistisch!D11</f>
        <v>8.1497189999999993</v>
      </c>
      <c r="E11" s="82">
        <f>Pessimistisch!E11</f>
        <v>8.9713370000000001</v>
      </c>
      <c r="F11" s="82">
        <f>Pessimistisch!F11</f>
        <v>10.419294000000001</v>
      </c>
      <c r="G11" s="72">
        <f>F11*(1+G12)</f>
        <v>11.252837520000002</v>
      </c>
      <c r="H11" s="72">
        <f t="shared" ref="H11:J11" si="2">G11*(1+H12)</f>
        <v>12.153064521600003</v>
      </c>
      <c r="I11" s="72">
        <f t="shared" si="2"/>
        <v>13.125309683328004</v>
      </c>
      <c r="J11" s="72">
        <f t="shared" si="2"/>
        <v>14.175334457994245</v>
      </c>
      <c r="K11" s="72">
        <f>J11*(1+K12)</f>
        <v>15.309361214633785</v>
      </c>
      <c r="L11" s="72">
        <f t="shared" ref="L11:Q11" si="3">K11*(1+L12)</f>
        <v>16.534110111804491</v>
      </c>
      <c r="M11" s="72">
        <f t="shared" si="3"/>
        <v>17.856838920748853</v>
      </c>
      <c r="N11" s="72">
        <f t="shared" si="3"/>
        <v>19.285386034408763</v>
      </c>
      <c r="O11" s="72">
        <f t="shared" si="3"/>
        <v>20.828216917161466</v>
      </c>
      <c r="P11" s="72">
        <f t="shared" si="3"/>
        <v>21.86962776301954</v>
      </c>
      <c r="Q11" s="72">
        <f t="shared" si="3"/>
        <v>22.307020318279932</v>
      </c>
    </row>
    <row r="12" spans="1:28" x14ac:dyDescent="0.2">
      <c r="A12" s="5"/>
      <c r="B12" s="4" t="s">
        <v>1</v>
      </c>
      <c r="C12" s="86"/>
      <c r="D12" s="89">
        <f>D11/C11-1</f>
        <v>2.0468550203524671E-2</v>
      </c>
      <c r="E12" s="89">
        <f>E11/D11-1</f>
        <v>0.10081550050989496</v>
      </c>
      <c r="F12" s="89">
        <f>F11/E11-1</f>
        <v>0.16139812828344313</v>
      </c>
      <c r="G12" s="85">
        <v>0.08</v>
      </c>
      <c r="H12" s="85">
        <f>G12</f>
        <v>0.08</v>
      </c>
      <c r="I12" s="85">
        <f t="shared" ref="I12:O12" si="4">H12</f>
        <v>0.08</v>
      </c>
      <c r="J12" s="85">
        <f t="shared" si="4"/>
        <v>0.08</v>
      </c>
      <c r="K12" s="85">
        <f t="shared" si="4"/>
        <v>0.08</v>
      </c>
      <c r="L12" s="85">
        <f t="shared" si="4"/>
        <v>0.08</v>
      </c>
      <c r="M12" s="85">
        <f t="shared" si="4"/>
        <v>0.08</v>
      </c>
      <c r="N12" s="85">
        <f t="shared" si="4"/>
        <v>0.08</v>
      </c>
      <c r="O12" s="85">
        <f t="shared" si="4"/>
        <v>0.08</v>
      </c>
      <c r="P12" s="85">
        <v>0.05</v>
      </c>
      <c r="Q12" s="85">
        <f>Optimistisch!Q12</f>
        <v>0.02</v>
      </c>
    </row>
    <row r="13" spans="1:28" ht="16" customHeight="1" x14ac:dyDescent="0.2">
      <c r="A13" s="5"/>
      <c r="B13" s="4" t="s">
        <v>13</v>
      </c>
      <c r="C13" s="88">
        <f>C14/C11</f>
        <v>0.19983742060731366</v>
      </c>
      <c r="D13" s="88">
        <f t="shared" ref="D13:F13" si="5">D14/D11</f>
        <v>0.21874349287380337</v>
      </c>
      <c r="E13" s="88">
        <f t="shared" si="5"/>
        <v>0.22780573285787836</v>
      </c>
      <c r="F13" s="88">
        <f t="shared" si="5"/>
        <v>0.21698082422858977</v>
      </c>
      <c r="G13" s="84">
        <v>0.23669999999999999</v>
      </c>
      <c r="H13" s="84">
        <v>0.24160000000000001</v>
      </c>
      <c r="I13" s="84">
        <v>0.24440000000000001</v>
      </c>
      <c r="J13" s="84">
        <v>0.25</v>
      </c>
      <c r="K13" s="84">
        <v>0.25</v>
      </c>
      <c r="L13" s="84">
        <v>0.25</v>
      </c>
      <c r="M13" s="84">
        <v>0.25</v>
      </c>
      <c r="N13" s="84">
        <v>0.25</v>
      </c>
      <c r="O13" s="84">
        <v>0.25</v>
      </c>
      <c r="P13" s="84">
        <v>0.25</v>
      </c>
      <c r="Q13" s="84">
        <v>0.25</v>
      </c>
    </row>
    <row r="14" spans="1:28" ht="17.25" customHeight="1" x14ac:dyDescent="0.2">
      <c r="A14" s="5"/>
      <c r="B14" s="4" t="s">
        <v>14</v>
      </c>
      <c r="C14" s="82">
        <f>Pessimistisch!C14</f>
        <v>1.595952</v>
      </c>
      <c r="D14" s="82">
        <f>Pessimistisch!D14</f>
        <v>1.7826979999999999</v>
      </c>
      <c r="E14" s="82">
        <f>Pessimistisch!E14</f>
        <v>2.0437219999999998</v>
      </c>
      <c r="F14" s="82">
        <f>Pessimistisch!F14</f>
        <v>2.2607870000000001</v>
      </c>
      <c r="G14" s="72">
        <f t="shared" ref="G14:J14" si="6">G11*G13</f>
        <v>2.6635466409840003</v>
      </c>
      <c r="H14" s="72">
        <f t="shared" si="6"/>
        <v>2.9361803884185607</v>
      </c>
      <c r="I14" s="72">
        <f t="shared" si="6"/>
        <v>3.2078256866053643</v>
      </c>
      <c r="J14" s="72">
        <f t="shared" si="6"/>
        <v>3.5438336144985612</v>
      </c>
      <c r="K14" s="72">
        <f t="shared" ref="K14:Q14" si="7">K11*K13</f>
        <v>3.8273403036584464</v>
      </c>
      <c r="L14" s="72">
        <f t="shared" si="7"/>
        <v>4.1335275279511228</v>
      </c>
      <c r="M14" s="72">
        <f t="shared" si="7"/>
        <v>4.4642097301872132</v>
      </c>
      <c r="N14" s="72">
        <f t="shared" si="7"/>
        <v>4.8213465086021907</v>
      </c>
      <c r="O14" s="72">
        <f>O11*O13</f>
        <v>5.2070542292903665</v>
      </c>
      <c r="P14" s="72">
        <f t="shared" si="7"/>
        <v>5.4674069407548851</v>
      </c>
      <c r="Q14" s="72">
        <f t="shared" si="7"/>
        <v>5.576755079569983</v>
      </c>
    </row>
    <row r="15" spans="1:28" x14ac:dyDescent="0.2">
      <c r="A15" s="100">
        <v>0.15</v>
      </c>
      <c r="B15" s="4" t="s">
        <v>36</v>
      </c>
      <c r="C15" s="82">
        <f>Pessimistisch!C15</f>
        <v>1.1496919999999999</v>
      </c>
      <c r="D15" s="82">
        <f>Pessimistisch!D15</f>
        <v>1.278708</v>
      </c>
      <c r="E15" s="82">
        <f>Pessimistisch!E15</f>
        <v>1.4775119999999999</v>
      </c>
      <c r="F15" s="82">
        <f>Pessimistisch!F15</f>
        <v>1.644817</v>
      </c>
      <c r="G15" s="72">
        <f>G14*(1-$A$15)</f>
        <v>2.2640146448364002</v>
      </c>
      <c r="H15" s="72">
        <f t="shared" ref="H15:I15" si="8">H14*(1-$A$15)</f>
        <v>2.4957533301557766</v>
      </c>
      <c r="I15" s="72">
        <f t="shared" si="8"/>
        <v>2.7266518336145595</v>
      </c>
      <c r="J15" s="72">
        <f>J14*(1-$A$15)</f>
        <v>3.0122585723237769</v>
      </c>
      <c r="K15" s="72">
        <f>K14*(1-$A$15)</f>
        <v>3.2532392581096792</v>
      </c>
      <c r="L15" s="72">
        <f t="shared" ref="L15:Q15" si="9">L14*(1-$A$15)</f>
        <v>3.513498398758454</v>
      </c>
      <c r="M15" s="72">
        <f t="shared" si="9"/>
        <v>3.7945782706591311</v>
      </c>
      <c r="N15" s="72">
        <f t="shared" si="9"/>
        <v>4.0981445323118617</v>
      </c>
      <c r="O15" s="72">
        <f>O14*(1-$A$15)</f>
        <v>4.4259960948968118</v>
      </c>
      <c r="P15" s="72">
        <f t="shared" si="9"/>
        <v>4.6472958996416525</v>
      </c>
      <c r="Q15" s="72">
        <f t="shared" si="9"/>
        <v>4.7402418176344856</v>
      </c>
    </row>
    <row r="16" spans="1:28" ht="35" hidden="1" thickBot="1" x14ac:dyDescent="0.25">
      <c r="A16" s="13" t="s">
        <v>5</v>
      </c>
      <c r="B16" s="14"/>
      <c r="C16" s="15">
        <f t="shared" ref="C16:J16" si="10">C15/C14</f>
        <v>0.72038006155573597</v>
      </c>
      <c r="D16" s="15">
        <f t="shared" si="10"/>
        <v>0.71728806561739566</v>
      </c>
      <c r="E16" s="15">
        <f t="shared" si="10"/>
        <v>0.72295155603355055</v>
      </c>
      <c r="F16" s="15">
        <f t="shared" si="10"/>
        <v>0.72754178080464893</v>
      </c>
      <c r="G16" s="15">
        <f t="shared" si="10"/>
        <v>0.85</v>
      </c>
      <c r="H16" s="15">
        <f t="shared" si="10"/>
        <v>0.85</v>
      </c>
      <c r="I16" s="15">
        <f t="shared" si="10"/>
        <v>0.85</v>
      </c>
      <c r="J16" s="15">
        <f t="shared" si="10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11.072714593341905</v>
      </c>
      <c r="H17" s="72">
        <f t="shared" ref="H17:O17" si="11">H15/H18</f>
        <v>12.329382858630737</v>
      </c>
      <c r="I17" s="72">
        <f t="shared" si="11"/>
        <v>13.606116062534703</v>
      </c>
      <c r="J17" s="72">
        <f t="shared" si="11"/>
        <v>15.183137995686694</v>
      </c>
      <c r="K17" s="72">
        <f t="shared" si="11"/>
        <v>16.563423268021847</v>
      </c>
      <c r="L17" s="72">
        <f t="shared" si="11"/>
        <v>18.0691890196602</v>
      </c>
      <c r="M17" s="72">
        <f t="shared" si="11"/>
        <v>19.711842566902039</v>
      </c>
      <c r="N17" s="72">
        <f t="shared" si="11"/>
        <v>21.503828254802226</v>
      </c>
      <c r="O17" s="72">
        <f t="shared" si="11"/>
        <v>23.458721732511528</v>
      </c>
      <c r="P17" s="72">
        <f>P15/P18</f>
        <v>24.880462443572831</v>
      </c>
      <c r="Q17" s="72"/>
    </row>
    <row r="18" spans="1:18" ht="35" thickBot="1" x14ac:dyDescent="0.25">
      <c r="A18" s="2" t="s">
        <v>35</v>
      </c>
      <c r="C18" s="82"/>
      <c r="D18" s="82"/>
      <c r="E18" s="82"/>
      <c r="F18" s="82"/>
      <c r="G18" s="72">
        <f>C50</f>
        <v>0.20446789500000001</v>
      </c>
      <c r="H18" s="72">
        <f>G18*0.99</f>
        <v>0.20242321605000002</v>
      </c>
      <c r="I18" s="72">
        <f t="shared" ref="I18:P18" si="12">H18*0.99</f>
        <v>0.20039898388950003</v>
      </c>
      <c r="J18" s="72">
        <f t="shared" si="12"/>
        <v>0.19839499405060504</v>
      </c>
      <c r="K18" s="72">
        <f t="shared" si="12"/>
        <v>0.19641104411009899</v>
      </c>
      <c r="L18" s="72">
        <f t="shared" si="12"/>
        <v>0.19444693366899801</v>
      </c>
      <c r="M18" s="72">
        <f t="shared" si="12"/>
        <v>0.19250246433230803</v>
      </c>
      <c r="N18" s="72">
        <f t="shared" si="12"/>
        <v>0.19057743968898494</v>
      </c>
      <c r="O18" s="72">
        <f t="shared" si="12"/>
        <v>0.18867166529209509</v>
      </c>
      <c r="P18" s="72">
        <f t="shared" si="12"/>
        <v>0.18678494863917414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2.0595994039903571</v>
      </c>
      <c r="H19" s="53">
        <f>H15/(1+$C$55)^2</f>
        <v>2.0654215817901571</v>
      </c>
      <c r="I19" s="53">
        <f>I15/(1+$C$55)^3</f>
        <v>2.0527698647507844</v>
      </c>
      <c r="J19" s="53">
        <f>J15/(1+$C$55)^4</f>
        <v>2.0630338401488282</v>
      </c>
      <c r="K19" s="53">
        <f>K15/(1+$C$55)^5</f>
        <v>2.0269061154066268</v>
      </c>
      <c r="L19" s="53">
        <f>L15/(1+$C$55)^6</f>
        <v>1.9914110572109684</v>
      </c>
      <c r="M19" s="53">
        <f>M15/(1+$C$55)^7</f>
        <v>1.9565375863432761</v>
      </c>
      <c r="N19" s="53">
        <f>N15/(1+$C$55)^8</f>
        <v>1.9222748176035827</v>
      </c>
      <c r="O19" s="53">
        <f>O15/(1+$C$55)^9</f>
        <v>1.8886120564128901</v>
      </c>
      <c r="P19" s="53">
        <f>P15/(1+$C$55)^10</f>
        <v>1.8039960511562743</v>
      </c>
      <c r="Q19" s="54">
        <f>(Q15/(C55-Q12))/(1+C55)^10</f>
        <v>23.218624254629649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59" t="s">
        <v>23</v>
      </c>
      <c r="H23" s="23"/>
      <c r="I23" s="78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25</v>
      </c>
      <c r="I25" s="80">
        <f>(I27-I23)*I29</f>
        <v>6.1750000000000013E-2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26</v>
      </c>
      <c r="I27" s="81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32</v>
      </c>
      <c r="I29" s="79">
        <v>1.9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29</v>
      </c>
      <c r="I31" s="81">
        <f>I23+(I27-I23)*I29</f>
        <v>9.9250000000000005E-2</v>
      </c>
      <c r="J31" s="26" t="s">
        <v>30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31</v>
      </c>
      <c r="H33" s="22"/>
      <c r="I33" s="77">
        <f>I31</f>
        <v>9.9250000000000005E-2</v>
      </c>
      <c r="J33" s="26"/>
    </row>
    <row r="34" spans="1:10" x14ac:dyDescent="0.2">
      <c r="A34" s="35" t="s">
        <v>6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45184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">
        <v>38</v>
      </c>
      <c r="C49" s="56">
        <f>C50*C51</f>
        <v>43.420802182200006</v>
      </c>
      <c r="D49" s="47">
        <f>SUM(G19:Q19)</f>
        <v>43.049186629443398</v>
      </c>
      <c r="E49" s="46"/>
    </row>
    <row r="50" spans="1:20" x14ac:dyDescent="0.2">
      <c r="A50" s="45"/>
      <c r="B50" s="46" t="s">
        <v>39</v>
      </c>
      <c r="C50" s="56">
        <f>Pessimistisch!C50</f>
        <v>0.20446789500000001</v>
      </c>
      <c r="D50" s="56">
        <f>C50</f>
        <v>0.20446789500000001</v>
      </c>
      <c r="E50" s="46"/>
    </row>
    <row r="51" spans="1:20" x14ac:dyDescent="0.2">
      <c r="A51" s="45"/>
      <c r="B51" s="46" t="s">
        <v>11</v>
      </c>
      <c r="C51" s="56">
        <f>Pessimistisch!C51</f>
        <v>212.36</v>
      </c>
      <c r="D51" s="87">
        <f>D49/(D50)</f>
        <v>210.54252370252746</v>
      </c>
      <c r="E51" s="46"/>
    </row>
    <row r="52" spans="1:20" x14ac:dyDescent="0.2">
      <c r="A52" s="45"/>
      <c r="B52" s="46" t="s">
        <v>2</v>
      </c>
      <c r="C52" s="46"/>
      <c r="D52" s="57">
        <f>IF(C51/D51-1&gt;0,0,C51/D51-1)*-1</f>
        <v>0</v>
      </c>
      <c r="E52" s="46"/>
    </row>
    <row r="53" spans="1:20" x14ac:dyDescent="0.2">
      <c r="A53" s="45"/>
      <c r="B53" s="46" t="s">
        <v>12</v>
      </c>
      <c r="C53" s="46"/>
      <c r="D53" s="58">
        <f>IF(C51/D51-1&lt;0,0,C51/D51-1)</f>
        <v>8.6323478293650613E-3</v>
      </c>
      <c r="E53" s="46"/>
    </row>
    <row r="54" spans="1:20" x14ac:dyDescent="0.2">
      <c r="A54" s="46"/>
      <c r="B54" s="46"/>
      <c r="C54" s="46"/>
      <c r="D54" s="48"/>
      <c r="E54" s="48"/>
    </row>
    <row r="55" spans="1:20" x14ac:dyDescent="0.2">
      <c r="A55" s="48" t="s">
        <v>17</v>
      </c>
      <c r="B55" s="46"/>
      <c r="C55" s="50">
        <f>D46</f>
        <v>9.9250000000000005E-2</v>
      </c>
      <c r="D55" s="49"/>
      <c r="E55" s="46"/>
      <c r="J55" s="70"/>
    </row>
    <row r="56" spans="1:20" x14ac:dyDescent="0.2">
      <c r="A56" s="48"/>
      <c r="B56" s="46"/>
      <c r="C56" s="50"/>
      <c r="D56" s="49"/>
      <c r="E56" s="46"/>
    </row>
    <row r="57" spans="1:20" hidden="1" x14ac:dyDescent="0.2">
      <c r="A57" s="48" t="s">
        <v>20</v>
      </c>
      <c r="B57" s="73">
        <v>0.108</v>
      </c>
      <c r="C57" s="50"/>
      <c r="D57" s="74">
        <f>SUM(H57:Q57)*1000</f>
        <v>36656.163204404882</v>
      </c>
      <c r="E57" s="46"/>
      <c r="F57" s="1" t="s">
        <v>21</v>
      </c>
      <c r="H57" s="1">
        <f>G15/(1+$B$57)</f>
        <v>2.043334517000361</v>
      </c>
      <c r="I57" s="1">
        <f>H15/(1+$B$57)^2</f>
        <v>2.032928659760143</v>
      </c>
      <c r="J57" s="1">
        <f>I15/(1+$B$57)^3</f>
        <v>2.0045200528404545</v>
      </c>
      <c r="K57" s="1">
        <f>J15/(1+$B$57)^4</f>
        <v>1.9986337064575834</v>
      </c>
      <c r="L57" s="1">
        <f>K15/(1+$B$57)^5</f>
        <v>1.9481267174857311</v>
      </c>
      <c r="M57" s="1">
        <f>L15/(1+$B$57)^6</f>
        <v>1.8988960784156945</v>
      </c>
      <c r="N57" s="1">
        <f>M15/(1+$B$57)^7</f>
        <v>1.8509095349178253</v>
      </c>
      <c r="O57" s="1">
        <f>N15/(1+$B$57)^8</f>
        <v>1.8041356477538364</v>
      </c>
      <c r="P57" s="1">
        <f>O15/(1+$B$57)^9</f>
        <v>1.7585437721788297</v>
      </c>
      <c r="Q57" s="1">
        <f>(Q15/(B57-Q12))/(1+B57)^10</f>
        <v>19.316134517594424</v>
      </c>
    </row>
    <row r="58" spans="1:20" ht="17" thickBot="1" x14ac:dyDescent="0.25">
      <c r="A58" s="22"/>
      <c r="C58" s="65"/>
      <c r="D58" s="66"/>
    </row>
    <row r="59" spans="1:20" x14ac:dyDescent="0.2">
      <c r="A59" s="59" t="str">
        <f>Pessimistisch!A59</f>
        <v>KGV Multiple in 2032</v>
      </c>
      <c r="B59" s="23"/>
      <c r="C59" s="67">
        <v>19</v>
      </c>
      <c r="D59" s="23"/>
      <c r="E59" s="24"/>
    </row>
    <row r="60" spans="1:20" x14ac:dyDescent="0.2">
      <c r="A60" s="25" t="s">
        <v>19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">
      <c r="A61" s="25"/>
      <c r="C61" s="68"/>
      <c r="E61" s="26"/>
    </row>
    <row r="62" spans="1:20" x14ac:dyDescent="0.2">
      <c r="A62" s="25" t="s">
        <v>34</v>
      </c>
      <c r="C62" s="68"/>
      <c r="E62" s="60">
        <f>P17*C59</f>
        <v>472.72878642788379</v>
      </c>
    </row>
    <row r="63" spans="1:20" x14ac:dyDescent="0.2">
      <c r="A63" s="25"/>
      <c r="C63" s="68"/>
      <c r="E63" s="26"/>
    </row>
    <row r="64" spans="1:20" x14ac:dyDescent="0.2">
      <c r="A64" s="25" t="s">
        <v>15</v>
      </c>
      <c r="C64" s="69">
        <v>0.5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88.18940939783235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-13.228411409674852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Pessimistisch!A70</f>
        <v>Gesamtwert 2032</v>
      </c>
      <c r="E70" s="60">
        <f>SUM(E62:E68)</f>
        <v>547.68978441604122</v>
      </c>
    </row>
    <row r="71" spans="1:5" x14ac:dyDescent="0.2">
      <c r="A71" s="25"/>
      <c r="E71" s="60"/>
    </row>
    <row r="72" spans="1:5" x14ac:dyDescent="0.2">
      <c r="A72" s="25" t="str">
        <f>Pessimistisch!A72</f>
        <v>Steigerung Gesamt bis 2032 in Prozent</v>
      </c>
      <c r="E72" s="62">
        <f>E70/C51-1</f>
        <v>1.5790628386515406</v>
      </c>
    </row>
    <row r="73" spans="1:5" x14ac:dyDescent="0.2">
      <c r="A73" s="25"/>
      <c r="E73" s="106"/>
    </row>
    <row r="74" spans="1:5" ht="17" thickBot="1" x14ac:dyDescent="0.25">
      <c r="A74" s="63" t="str">
        <f>Pessimistisch!A74</f>
        <v>Renditeerwartung bis 2032 pro Jahr</v>
      </c>
      <c r="B74" s="64"/>
      <c r="C74" s="64"/>
      <c r="D74" s="64"/>
      <c r="E74" s="105">
        <f>(E70/C51)^(1/10)-1</f>
        <v>9.9375849489150125E-2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2023-09-15T22:10:42Z</dcterms:modified>
</cp:coreProperties>
</file>