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Nike/"/>
    </mc:Choice>
  </mc:AlternateContent>
  <xr:revisionPtr revIDLastSave="0" documentId="13_ncr:1_{C19CA718-B14A-584C-A6A4-84B41718F47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34" l="1"/>
  <c r="I25" i="35"/>
  <c r="I31" i="34"/>
  <c r="I33" i="34" s="1"/>
  <c r="H15" i="35"/>
  <c r="I15" i="35"/>
  <c r="G15" i="35"/>
  <c r="G15" i="37"/>
  <c r="J15" i="37"/>
  <c r="C50" i="34"/>
  <c r="H18" i="35"/>
  <c r="K13" i="35"/>
  <c r="L13" i="35"/>
  <c r="M13" i="35"/>
  <c r="N13" i="35"/>
  <c r="O13" i="35"/>
  <c r="P13" i="35"/>
  <c r="Q13" i="35"/>
  <c r="J13" i="35"/>
  <c r="I31" i="37"/>
  <c r="I33" i="37" s="1"/>
  <c r="D46" i="37" s="1"/>
  <c r="C55" i="37" s="1"/>
  <c r="G17" i="34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B6" i="37"/>
  <c r="B6" i="35"/>
  <c r="B4" i="35"/>
  <c r="B4" i="37"/>
  <c r="B50" i="35"/>
  <c r="B49" i="35"/>
  <c r="B50" i="37"/>
  <c r="B49" i="37"/>
  <c r="C51" i="35"/>
  <c r="C50" i="35"/>
  <c r="C51" i="37"/>
  <c r="C50" i="37"/>
  <c r="C48" i="35"/>
  <c r="C48" i="37"/>
  <c r="F15" i="35"/>
  <c r="E15" i="35"/>
  <c r="D15" i="35"/>
  <c r="C15" i="35"/>
  <c r="G19" i="37" l="1"/>
  <c r="D14" i="35"/>
  <c r="E14" i="35"/>
  <c r="F14" i="35"/>
  <c r="C14" i="35"/>
  <c r="D11" i="35"/>
  <c r="E11" i="35"/>
  <c r="F11" i="35"/>
  <c r="C11" i="35"/>
  <c r="H15" i="37"/>
  <c r="I15" i="37"/>
  <c r="D15" i="37"/>
  <c r="D16" i="37" s="1"/>
  <c r="E15" i="37"/>
  <c r="F15" i="37"/>
  <c r="C15" i="37"/>
  <c r="C16" i="37" s="1"/>
  <c r="H14" i="37"/>
  <c r="I14" i="37"/>
  <c r="G14" i="37"/>
  <c r="D14" i="37"/>
  <c r="E14" i="37"/>
  <c r="F14" i="37"/>
  <c r="C14" i="37"/>
  <c r="I11" i="37"/>
  <c r="J11" i="37" s="1"/>
  <c r="H11" i="37"/>
  <c r="H13" i="37" s="1"/>
  <c r="G11" i="37"/>
  <c r="F11" i="37"/>
  <c r="F12" i="37" s="1"/>
  <c r="D11" i="37"/>
  <c r="E11" i="37"/>
  <c r="E12" i="37" s="1"/>
  <c r="C11" i="37"/>
  <c r="C13" i="37" s="1"/>
  <c r="Q12" i="35"/>
  <c r="J57" i="37"/>
  <c r="I57" i="37"/>
  <c r="H57" i="37"/>
  <c r="D50" i="37"/>
  <c r="C49" i="37"/>
  <c r="I25" i="37"/>
  <c r="G18" i="37"/>
  <c r="H18" i="37" s="1"/>
  <c r="I18" i="37" s="1"/>
  <c r="J18" i="37" s="1"/>
  <c r="K18" i="37" s="1"/>
  <c r="L18" i="37" s="1"/>
  <c r="M18" i="37" s="1"/>
  <c r="N18" i="37" s="1"/>
  <c r="O18" i="37" s="1"/>
  <c r="P18" i="37" s="1"/>
  <c r="I16" i="37"/>
  <c r="H16" i="37"/>
  <c r="G16" i="37"/>
  <c r="I13" i="37"/>
  <c r="G13" i="37"/>
  <c r="D13" i="37"/>
  <c r="D10" i="37"/>
  <c r="E10" i="37" s="1"/>
  <c r="F10" i="37" s="1"/>
  <c r="G10" i="37" s="1"/>
  <c r="H10" i="37" s="1"/>
  <c r="I10" i="37" s="1"/>
  <c r="J10" i="37" s="1"/>
  <c r="K10" i="37" s="1"/>
  <c r="L10" i="37" s="1"/>
  <c r="M10" i="37" s="1"/>
  <c r="N10" i="37" s="1"/>
  <c r="O10" i="37" s="1"/>
  <c r="P10" i="37" s="1"/>
  <c r="H13" i="34"/>
  <c r="I13" i="34"/>
  <c r="G13" i="34"/>
  <c r="J11" i="34"/>
  <c r="E16" i="37" l="1"/>
  <c r="F16" i="37"/>
  <c r="I12" i="37"/>
  <c r="H12" i="37"/>
  <c r="G12" i="37"/>
  <c r="D12" i="37"/>
  <c r="E13" i="37"/>
  <c r="F13" i="37"/>
  <c r="G17" i="37"/>
  <c r="K11" i="37"/>
  <c r="K14" i="37" s="1"/>
  <c r="K15" i="37" s="1"/>
  <c r="J14" i="37"/>
  <c r="I19" i="37"/>
  <c r="H19" i="37"/>
  <c r="A72" i="37"/>
  <c r="A74" i="37"/>
  <c r="A59" i="37"/>
  <c r="Q10" i="37"/>
  <c r="A70" i="37"/>
  <c r="H17" i="37"/>
  <c r="H12" i="35"/>
  <c r="I12" i="35" s="1"/>
  <c r="J12" i="35" s="1"/>
  <c r="K12" i="35" s="1"/>
  <c r="L12" i="35" s="1"/>
  <c r="M12" i="35" s="1"/>
  <c r="N12" i="35" s="1"/>
  <c r="O12" i="35" s="1"/>
  <c r="D13" i="35"/>
  <c r="E13" i="35"/>
  <c r="F13" i="35"/>
  <c r="C13" i="35"/>
  <c r="D10" i="35"/>
  <c r="E10" i="35" s="1"/>
  <c r="F10" i="35" s="1"/>
  <c r="G10" i="35" s="1"/>
  <c r="H10" i="35" s="1"/>
  <c r="I10" i="35" s="1"/>
  <c r="J10" i="35" s="1"/>
  <c r="K10" i="35" s="1"/>
  <c r="L10" i="35" s="1"/>
  <c r="M10" i="35" s="1"/>
  <c r="N10" i="35" s="1"/>
  <c r="O10" i="35" s="1"/>
  <c r="P10" i="35" s="1"/>
  <c r="Q10" i="35" s="1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C49" i="34"/>
  <c r="D50" i="34"/>
  <c r="D13" i="34"/>
  <c r="E13" i="34"/>
  <c r="F13" i="34"/>
  <c r="C13" i="34"/>
  <c r="G11" i="35"/>
  <c r="L11" i="37" l="1"/>
  <c r="L14" i="37" s="1"/>
  <c r="L15" i="37" s="1"/>
  <c r="K57" i="37"/>
  <c r="Q10" i="34"/>
  <c r="A74" i="34"/>
  <c r="A74" i="35" s="1"/>
  <c r="A72" i="34"/>
  <c r="A72" i="35" s="1"/>
  <c r="A70" i="34"/>
  <c r="A70" i="35" s="1"/>
  <c r="A59" i="34"/>
  <c r="A59" i="35" s="1"/>
  <c r="I17" i="37"/>
  <c r="K19" i="37"/>
  <c r="L57" i="37"/>
  <c r="M11" i="37" l="1"/>
  <c r="M14" i="37" s="1"/>
  <c r="M15" i="37" s="1"/>
  <c r="J19" i="37"/>
  <c r="J16" i="37"/>
  <c r="J17" i="37"/>
  <c r="L19" i="37"/>
  <c r="M57" i="37"/>
  <c r="H11" i="35"/>
  <c r="N11" i="37" l="1"/>
  <c r="N14" i="37" s="1"/>
  <c r="N15" i="37" s="1"/>
  <c r="M19" i="37"/>
  <c r="N57" i="37"/>
  <c r="O11" i="37"/>
  <c r="K17" i="37"/>
  <c r="H12" i="34"/>
  <c r="I12" i="34"/>
  <c r="P11" i="37" l="1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G18" i="35"/>
  <c r="I18" i="35" s="1"/>
  <c r="J18" i="35" s="1"/>
  <c r="K18" i="35" s="1"/>
  <c r="L18" i="35" s="1"/>
  <c r="M18" i="35" s="1"/>
  <c r="N18" i="35" s="1"/>
  <c r="O18" i="35" s="1"/>
  <c r="P18" i="35" s="1"/>
  <c r="F16" i="35"/>
  <c r="E16" i="35"/>
  <c r="D16" i="35"/>
  <c r="C16" i="35"/>
  <c r="F12" i="35"/>
  <c r="E12" i="35"/>
  <c r="D12" i="35"/>
  <c r="O19" i="37" l="1"/>
  <c r="P57" i="37"/>
  <c r="Q11" i="37"/>
  <c r="Q14" i="37" s="1"/>
  <c r="Q15" i="37" s="1"/>
  <c r="P14" i="37"/>
  <c r="P15" i="37" s="1"/>
  <c r="D41" i="37" s="1"/>
  <c r="M17" i="37"/>
  <c r="G17" i="35"/>
  <c r="J11" i="35"/>
  <c r="K11" i="35" s="1"/>
  <c r="L11" i="35" s="1"/>
  <c r="D40" i="37" l="1"/>
  <c r="Q19" i="37"/>
  <c r="P19" i="37"/>
  <c r="D44" i="37"/>
  <c r="Q57" i="37"/>
  <c r="D57" i="37" s="1"/>
  <c r="D49" i="37"/>
  <c r="D51" i="37" s="1"/>
  <c r="D42" i="37"/>
  <c r="N17" i="37"/>
  <c r="D43" i="37"/>
  <c r="D53" i="37" l="1"/>
  <c r="D52" i="37"/>
  <c r="P17" i="37"/>
  <c r="O17" i="37"/>
  <c r="E62" i="37" l="1"/>
  <c r="E66" i="37"/>
  <c r="E68" i="37" s="1"/>
  <c r="E70" i="37" l="1"/>
  <c r="G12" i="34"/>
  <c r="E12" i="34"/>
  <c r="F12" i="34"/>
  <c r="D12" i="34"/>
  <c r="E74" i="37" l="1"/>
  <c r="E72" i="37"/>
  <c r="C16" i="34"/>
  <c r="H16" i="34"/>
  <c r="G16" i="34"/>
  <c r="F16" i="34"/>
  <c r="E16" i="34"/>
  <c r="D16" i="34"/>
  <c r="H17" i="34" l="1"/>
  <c r="D46" i="34" l="1"/>
  <c r="C55" i="34" s="1"/>
  <c r="H19" i="34" l="1"/>
  <c r="G19" i="34"/>
  <c r="H57" i="34"/>
  <c r="I57" i="34"/>
  <c r="H14" i="35" l="1"/>
  <c r="G14" i="35"/>
  <c r="I14" i="35" l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9" i="34" l="1"/>
  <c r="I17" i="34"/>
  <c r="J57" i="34"/>
  <c r="I16" i="34"/>
  <c r="J14" i="34"/>
  <c r="J15" i="34" s="1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E74" i="34" l="1"/>
</calcChain>
</file>

<file path=xl/sharedStrings.xml><?xml version="1.0" encoding="utf-8"?>
<sst xmlns="http://schemas.openxmlformats.org/spreadsheetml/2006/main" count="118" uniqueCount="42">
  <si>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</si>
  <si>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</si>
  <si>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</si>
  <si>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</si>
  <si>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</si>
  <si>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</si>
  <si>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</si>
  <si>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</si>
  <si>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</si>
  <si>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</si>
  <si>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</si>
  <si>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</si>
  <si>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</si>
  <si>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</si>
  <si>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</si>
  <si>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</si>
  <si>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</si>
  <si>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</si>
  <si>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</si>
  <si>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</si>
  <si>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</si>
  <si>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</si>
  <si>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</si>
  <si>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</si>
  <si>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</si>
  <si>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</si>
  <si>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</si>
  <si>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</si>
  <si>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</si>
  <si>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</si>
  <si>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</si>
  <si>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</si>
  <si>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</si>
  <si>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</si>
  <si>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</si>
  <si>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</si>
  <si>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</si>
  <si>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Quellensteuer USA (15 %)</t>
  </si>
  <si>
    <t>Marktkapitalisierung, Mrd.</t>
  </si>
  <si>
    <t>Anzahl Aktien gesamt, Mrd.</t>
  </si>
  <si>
    <t>Alle Angaben in Mrd.</t>
  </si>
  <si>
    <t>Annahmen für 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</si>
</sst>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tabSelected="1"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41</v>
      </c>
    </row>
    <row r="5" spans="1:28" x14ac:dyDescent="0.2"/>
    <row r="6" spans="1:28" x14ac:dyDescent="0.2">
      <c r="B6" s="1" t="s">
        <v>40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>D10+1</f>
        <v>2022</v>
      </c>
      <c r="F10" s="11">
        <f>E10+1</f>
        <v>2023</v>
      </c>
      <c r="G10" s="55">
        <f>F10+1</f>
        <v>2024</v>
      </c>
      <c r="H10" s="55">
        <f t="shared" ref="H10:P10" si="0">G10+1</f>
        <v>2025</v>
      </c>
      <c r="I10" s="55">
        <f t="shared" si="0"/>
        <v>2026</v>
      </c>
      <c r="J10" s="55">
        <f t="shared" si="0"/>
        <v>2027</v>
      </c>
      <c r="K10" s="55">
        <f t="shared" si="0"/>
        <v>2028</v>
      </c>
      <c r="L10" s="55">
        <f t="shared" si="0"/>
        <v>2029</v>
      </c>
      <c r="M10" s="55">
        <f t="shared" si="0"/>
        <v>2030</v>
      </c>
      <c r="N10" s="55">
        <f t="shared" si="0"/>
        <v>2031</v>
      </c>
      <c r="O10" s="55">
        <f t="shared" si="0"/>
        <v>2032</v>
      </c>
      <c r="P10" s="55">
        <f t="shared" si="0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82">
        <v>37.402999999999999</v>
      </c>
      <c r="D11" s="82">
        <v>44.537999999999997</v>
      </c>
      <c r="E11" s="82">
        <v>46.71</v>
      </c>
      <c r="F11" s="82">
        <v>51.216999999999999</v>
      </c>
      <c r="G11" s="72">
        <v>53.613500000000002</v>
      </c>
      <c r="H11" s="72">
        <v>57.880119999999998</v>
      </c>
      <c r="I11" s="72">
        <v>62.461309999999997</v>
      </c>
      <c r="J11" s="72">
        <f>I11*(1+J12)</f>
        <v>66.52129515</v>
      </c>
      <c r="K11" s="72">
        <f>J11*(1+K12)</f>
        <v>70.512572859000002</v>
      </c>
      <c r="L11" s="72">
        <f t="shared" ref="L11:Q11" si="1">K11*(1+L12)</f>
        <v>74.390764366244994</v>
      </c>
      <c r="M11" s="72">
        <f t="shared" si="1"/>
        <v>78.110302584557246</v>
      </c>
      <c r="N11" s="72">
        <f t="shared" si="1"/>
        <v>81.234714687939544</v>
      </c>
      <c r="O11" s="72">
        <f t="shared" si="1"/>
        <v>84.48410327545713</v>
      </c>
      <c r="P11" s="72">
        <f t="shared" si="1"/>
        <v>87.863467406475422</v>
      </c>
      <c r="Q11" s="72">
        <f t="shared" si="1"/>
        <v>89.181419417572542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0.19076009945726269</v>
      </c>
      <c r="E12" s="89">
        <f t="shared" si="2"/>
        <v>4.8767344739323759E-2</v>
      </c>
      <c r="F12" s="89">
        <f t="shared" si="2"/>
        <v>9.6488974523656568E-2</v>
      </c>
      <c r="G12" s="85">
        <f t="shared" si="2"/>
        <v>4.6791104516078708E-2</v>
      </c>
      <c r="H12" s="85">
        <f t="shared" si="2"/>
        <v>7.9581075661913525E-2</v>
      </c>
      <c r="I12" s="85">
        <f t="shared" si="2"/>
        <v>7.9149628577134923E-2</v>
      </c>
      <c r="J12" s="85">
        <v>6.5000000000000002E-2</v>
      </c>
      <c r="K12" s="71">
        <v>0.06</v>
      </c>
      <c r="L12" s="71">
        <v>5.5E-2</v>
      </c>
      <c r="M12" s="71">
        <v>0.05</v>
      </c>
      <c r="N12" s="71">
        <v>0.04</v>
      </c>
      <c r="O12" s="71">
        <v>0.04</v>
      </c>
      <c r="P12" s="71">
        <v>0.04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8.3282089671951456E-2</v>
      </c>
      <c r="D13" s="88">
        <f t="shared" ref="D13:F13" si="3">D14/D11</f>
        <v>0.15575463649018814</v>
      </c>
      <c r="E13" s="88">
        <f t="shared" si="3"/>
        <v>0.14290301862556198</v>
      </c>
      <c r="F13" s="88">
        <f t="shared" si="3"/>
        <v>0.11548899779370136</v>
      </c>
      <c r="G13" s="84">
        <f>G14/G11</f>
        <v>0.12670000000000001</v>
      </c>
      <c r="H13" s="84">
        <f t="shared" ref="H13:I13" si="4">H14/H11</f>
        <v>0.13700000000000001</v>
      </c>
      <c r="I13" s="84">
        <f t="shared" si="4"/>
        <v>0.14560000000000001</v>
      </c>
      <c r="J13" s="84">
        <v>0.14499999999999999</v>
      </c>
      <c r="K13" s="84">
        <v>0.14000000000000001</v>
      </c>
      <c r="L13" s="84">
        <v>0.13500000000000001</v>
      </c>
      <c r="M13" s="84">
        <v>0.13500000000000001</v>
      </c>
      <c r="N13" s="84">
        <v>0.13</v>
      </c>
      <c r="O13" s="84">
        <v>0.125</v>
      </c>
      <c r="P13" s="84">
        <v>0.12</v>
      </c>
      <c r="Q13" s="84">
        <v>0.12</v>
      </c>
    </row>
    <row r="14" spans="1:28" ht="17.25" customHeight="1" x14ac:dyDescent="0.2">
      <c r="A14" s="5"/>
      <c r="B14" s="4" t="s">
        <v>14</v>
      </c>
      <c r="C14" s="82">
        <v>3.1150000000000002</v>
      </c>
      <c r="D14" s="82">
        <v>6.9369999999999994</v>
      </c>
      <c r="E14" s="82">
        <v>6.6749999999999998</v>
      </c>
      <c r="F14" s="82">
        <v>5.9150000000000027</v>
      </c>
      <c r="G14" s="72">
        <v>6.7928304500000003</v>
      </c>
      <c r="H14" s="72">
        <v>7.9295764399999999</v>
      </c>
      <c r="I14" s="72">
        <v>9.0943667359999996</v>
      </c>
      <c r="J14" s="72">
        <f>J11*J13</f>
        <v>9.6455877967500001</v>
      </c>
      <c r="K14" s="72">
        <f t="shared" ref="K14:Q14" si="5">K11*K13</f>
        <v>9.8717602002600007</v>
      </c>
      <c r="L14" s="72">
        <f t="shared" si="5"/>
        <v>10.042753189443076</v>
      </c>
      <c r="M14" s="72">
        <f t="shared" si="5"/>
        <v>10.544890848915228</v>
      </c>
      <c r="N14" s="72">
        <f t="shared" si="5"/>
        <v>10.560512909432141</v>
      </c>
      <c r="O14" s="72">
        <f t="shared" si="5"/>
        <v>10.560512909432141</v>
      </c>
      <c r="P14" s="72">
        <f>P11*P13</f>
        <v>10.54361608877705</v>
      </c>
      <c r="Q14" s="72">
        <f t="shared" si="5"/>
        <v>10.701770330108705</v>
      </c>
    </row>
    <row r="15" spans="1:28" x14ac:dyDescent="0.2">
      <c r="A15" s="100">
        <v>0.2</v>
      </c>
      <c r="B15" s="4" t="s">
        <v>36</v>
      </c>
      <c r="C15" s="82">
        <v>2.5390000000000001</v>
      </c>
      <c r="D15" s="82">
        <v>5.7270000000000003</v>
      </c>
      <c r="E15" s="82">
        <v>6.0460000000000003</v>
      </c>
      <c r="F15" s="82">
        <v>5.07</v>
      </c>
      <c r="G15" s="72">
        <v>5.7259218000000009</v>
      </c>
      <c r="H15" s="72">
        <v>6.6272737399999997</v>
      </c>
      <c r="I15" s="72">
        <v>7.5640646409999999</v>
      </c>
      <c r="J15" s="72">
        <f>J14*(1-$A$15)</f>
        <v>7.7164702374000003</v>
      </c>
      <c r="K15" s="72">
        <f>K14*(1-$A$15)</f>
        <v>7.8974081602080011</v>
      </c>
      <c r="L15" s="72">
        <f t="shared" ref="L15:Q15" si="6">L14*(1-$A$15)</f>
        <v>8.0342025515544613</v>
      </c>
      <c r="M15" s="72">
        <f t="shared" si="6"/>
        <v>8.4359126791321835</v>
      </c>
      <c r="N15" s="72">
        <f t="shared" si="6"/>
        <v>8.4484103275457141</v>
      </c>
      <c r="O15" s="72">
        <f t="shared" si="6"/>
        <v>8.4484103275457141</v>
      </c>
      <c r="P15" s="72">
        <f>P14*(1-$A$15)</f>
        <v>8.4348928710216402</v>
      </c>
      <c r="Q15" s="72">
        <f t="shared" si="6"/>
        <v>8.5614162640869633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0.81508828250401288</v>
      </c>
      <c r="D16" s="15">
        <f t="shared" si="7"/>
        <v>0.82557301427129892</v>
      </c>
      <c r="E16" s="15">
        <f t="shared" si="7"/>
        <v>0.90576779026217236</v>
      </c>
      <c r="F16" s="15">
        <f t="shared" si="7"/>
        <v>0.85714285714285676</v>
      </c>
      <c r="G16" s="15">
        <f t="shared" si="7"/>
        <v>0.84293606945540656</v>
      </c>
      <c r="H16" s="15">
        <f t="shared" si="7"/>
        <v>0.83576642335766416</v>
      </c>
      <c r="I16" s="15">
        <f t="shared" si="7"/>
        <v>0.83173076923076927</v>
      </c>
      <c r="J16" s="15">
        <f t="shared" si="7"/>
        <v>0.8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3.7425019981155105</v>
      </c>
      <c r="H17" s="72">
        <f t="shared" ref="H17:P17" si="8">H15/H18</f>
        <v>4.3975957822841698</v>
      </c>
      <c r="I17" s="72">
        <f t="shared" si="8"/>
        <v>5.0956477543121785</v>
      </c>
      <c r="J17" s="72">
        <f t="shared" si="8"/>
        <v>5.2774803184658952</v>
      </c>
      <c r="K17" s="72">
        <f t="shared" si="8"/>
        <v>5.4834803378984001</v>
      </c>
      <c r="L17" s="72">
        <f t="shared" si="8"/>
        <v>5.6634132496387215</v>
      </c>
      <c r="M17" s="72">
        <f t="shared" si="8"/>
        <v>6.0371410275336617</v>
      </c>
      <c r="N17" s="72">
        <f t="shared" si="8"/>
        <v>6.1381572996619758</v>
      </c>
      <c r="O17" s="72">
        <f t="shared" si="8"/>
        <v>6.2316317763065738</v>
      </c>
      <c r="P17" s="72">
        <f t="shared" si="8"/>
        <v>6.3164072745832325</v>
      </c>
      <c r="Q17" s="72"/>
    </row>
    <row r="18" spans="1:18" ht="35" thickBot="1" x14ac:dyDescent="0.25">
      <c r="A18" s="2" t="s">
        <v>35</v>
      </c>
      <c r="C18" s="107">
        <v>0.98499999999999999</v>
      </c>
      <c r="D18" s="82"/>
      <c r="E18" s="82"/>
      <c r="F18" s="82"/>
      <c r="G18" s="72">
        <f>C50</f>
        <v>1.5299716080000001</v>
      </c>
      <c r="H18" s="72">
        <f>G18*$C18</f>
        <v>1.50702203388</v>
      </c>
      <c r="I18" s="72">
        <f t="shared" ref="I18:O18" si="9">H18*$C18</f>
        <v>1.4844167033717999</v>
      </c>
      <c r="J18" s="72">
        <f t="shared" si="9"/>
        <v>1.4621504528212228</v>
      </c>
      <c r="K18" s="72">
        <f t="shared" si="9"/>
        <v>1.4402181960289044</v>
      </c>
      <c r="L18" s="72">
        <f t="shared" si="9"/>
        <v>1.4186149230884708</v>
      </c>
      <c r="M18" s="72">
        <f t="shared" si="9"/>
        <v>1.3973356992421437</v>
      </c>
      <c r="N18" s="72">
        <f t="shared" si="9"/>
        <v>1.3763756637535116</v>
      </c>
      <c r="O18" s="72">
        <f t="shared" si="9"/>
        <v>1.3557300287972089</v>
      </c>
      <c r="P18" s="72">
        <f>O18*$C18</f>
        <v>1.3353940783652507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5.314203856237965</v>
      </c>
      <c r="H19" s="53">
        <f>H15/(1+$C$55)^2</f>
        <v>5.7084802780408621</v>
      </c>
      <c r="I19" s="53">
        <f>I15/(1+$C$55)^3</f>
        <v>6.0469116704983588</v>
      </c>
      <c r="J19" s="53">
        <f>J15/(1+$C$55)^4</f>
        <v>5.725189634728725</v>
      </c>
      <c r="K19" s="53">
        <f>K15/(1+$C$55)^5</f>
        <v>5.4381173211875016</v>
      </c>
      <c r="L19" s="53">
        <f>L15/(1+$C$55)^6</f>
        <v>5.1345166077444944</v>
      </c>
      <c r="M19" s="53">
        <f>M15/(1+$C$55)^7</f>
        <v>5.0035893530074649</v>
      </c>
      <c r="N19" s="53">
        <f>N15/(1+$C$55)^8</f>
        <v>4.6506898795562623</v>
      </c>
      <c r="O19" s="53">
        <f>O15/(1+$C$55)^9</f>
        <v>4.3162856489071793</v>
      </c>
      <c r="P19" s="53">
        <f>P15/(1+$C$55)^10</f>
        <v>3.9995170114099419</v>
      </c>
      <c r="Q19" s="54">
        <f>(Q15/(C55-Q12))/(1+C55)^10</f>
        <v>64.978147524307161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3.9975000000000011E-2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1.23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7.7475000000000016E-2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7.7475000000000016E-2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7.7475000000000016E-2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45191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38</v>
      </c>
      <c r="C49" s="56">
        <f>C50*C51</f>
        <v>138.99792058680001</v>
      </c>
      <c r="D49" s="47">
        <f>SUM(G19:Q19)</f>
        <v>116.31564878562591</v>
      </c>
      <c r="E49" s="46"/>
    </row>
    <row r="50" spans="1:17" x14ac:dyDescent="0.2">
      <c r="A50" s="45"/>
      <c r="B50" s="46" t="s">
        <v>39</v>
      </c>
      <c r="C50" s="56">
        <f>1.529971608</f>
        <v>1.5299716080000001</v>
      </c>
      <c r="D50" s="56">
        <f>C50</f>
        <v>1.5299716080000001</v>
      </c>
      <c r="E50" s="46"/>
    </row>
    <row r="51" spans="1:17" x14ac:dyDescent="0.2">
      <c r="A51" s="45"/>
      <c r="B51" s="46" t="s">
        <v>11</v>
      </c>
      <c r="C51" s="87">
        <v>90.85</v>
      </c>
      <c r="D51" s="56">
        <f>D49/(D50)</f>
        <v>76.024710640006788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0.19500619252855977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7.7475000000000016E-2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74520.395419640656</v>
      </c>
      <c r="E57" s="46"/>
      <c r="F57" s="1" t="s">
        <v>21</v>
      </c>
      <c r="H57" s="1">
        <f>G15/(1+$B$57)</f>
        <v>5.1677994584837545</v>
      </c>
      <c r="I57" s="1">
        <f>H15/(1+$B$57)^2</f>
        <v>5.3982797736188388</v>
      </c>
      <c r="J57" s="1">
        <f>I15/(1+$B$57)^3</f>
        <v>5.5607830332214263</v>
      </c>
      <c r="K57" s="1">
        <f>J15/(1+$B$57)^4</f>
        <v>5.1198783706828115</v>
      </c>
      <c r="L57" s="1">
        <f>K15/(1+$B$57)^5</f>
        <v>4.7291793240964104</v>
      </c>
      <c r="M57" s="1">
        <f>L15/(1+$B$57)^6</f>
        <v>4.3421439223467715</v>
      </c>
      <c r="N57" s="1">
        <f>M15/(1+$B$57)^7</f>
        <v>4.1148475798412534</v>
      </c>
      <c r="O57" s="1">
        <f>N15/(1+$B$57)^8</f>
        <v>3.7192632223194102</v>
      </c>
      <c r="P57" s="1">
        <f>O15/(1+$B$57)^9</f>
        <v>3.3567357602160737</v>
      </c>
      <c r="Q57" s="1">
        <f>(Q15/(B57-Q12))/(1+B57)^10</f>
        <v>33.011484974813889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2033</v>
      </c>
      <c r="B59" s="23"/>
      <c r="C59" s="67">
        <v>17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107.37892366791495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0.35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19.034209886580111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-2.8551314829870167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2033</v>
      </c>
      <c r="E70" s="60">
        <f>SUM(E62:E68)</f>
        <v>123.55800207150804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2033 in Prozent</v>
      </c>
      <c r="E72" s="62">
        <f>E70/C51-1</f>
        <v>0.36002203711071057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2033 pro Jahr</v>
      </c>
      <c r="B74" s="64"/>
      <c r="C74" s="64"/>
      <c r="D74" s="64"/>
      <c r="E74" s="105">
        <f>(E70/C51)^(1/10)-1</f>
        <v>3.1227757900274655E-2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Nike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>D10+1</f>
        <v>2022</v>
      </c>
      <c r="F10" s="11">
        <f>E10+1</f>
        <v>2023</v>
      </c>
      <c r="G10" s="55">
        <f>F10+1</f>
        <v>2024</v>
      </c>
      <c r="H10" s="55">
        <f t="shared" ref="H10:P10" si="0">G10+1</f>
        <v>2025</v>
      </c>
      <c r="I10" s="55">
        <f t="shared" si="0"/>
        <v>2026</v>
      </c>
      <c r="J10" s="55">
        <f t="shared" si="0"/>
        <v>2027</v>
      </c>
      <c r="K10" s="55">
        <f t="shared" si="0"/>
        <v>2028</v>
      </c>
      <c r="L10" s="55">
        <f t="shared" si="0"/>
        <v>2029</v>
      </c>
      <c r="M10" s="55">
        <f t="shared" si="0"/>
        <v>2030</v>
      </c>
      <c r="N10" s="55">
        <f t="shared" si="0"/>
        <v>2031</v>
      </c>
      <c r="O10" s="55">
        <f t="shared" si="0"/>
        <v>2032</v>
      </c>
      <c r="P10" s="55">
        <f t="shared" si="0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82">
        <f>Pessimistisch!C$11</f>
        <v>37.402999999999999</v>
      </c>
      <c r="D11" s="82">
        <f>Pessimistisch!D$11</f>
        <v>44.537999999999997</v>
      </c>
      <c r="E11" s="82">
        <f>Pessimistisch!E$11</f>
        <v>46.71</v>
      </c>
      <c r="F11" s="82">
        <f>Pessimistisch!F$11</f>
        <v>51.216999999999999</v>
      </c>
      <c r="G11" s="72">
        <f>Pessimistisch!G11</f>
        <v>53.613500000000002</v>
      </c>
      <c r="H11" s="72">
        <f>Pessimistisch!H11</f>
        <v>57.880119999999998</v>
      </c>
      <c r="I11" s="72">
        <f>Pessimistisch!I11</f>
        <v>62.461309999999997</v>
      </c>
      <c r="J11" s="72">
        <f>I11*(1+J12)</f>
        <v>66.833601700000003</v>
      </c>
      <c r="K11" s="72">
        <f>J11*(1+K12)</f>
        <v>71.511953819000013</v>
      </c>
      <c r="L11" s="72">
        <f t="shared" ref="L11:Q11" si="1">K11*(1+L12)</f>
        <v>76.160230817235004</v>
      </c>
      <c r="M11" s="72">
        <f t="shared" si="1"/>
        <v>80.729844666269102</v>
      </c>
      <c r="N11" s="72">
        <f t="shared" si="1"/>
        <v>85.169986122913897</v>
      </c>
      <c r="O11" s="72">
        <f t="shared" si="1"/>
        <v>89.854335359674153</v>
      </c>
      <c r="P11" s="72">
        <f t="shared" si="1"/>
        <v>93.448508774061125</v>
      </c>
      <c r="Q11" s="72">
        <f t="shared" si="1"/>
        <v>95.317478949542348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0.19076009945726269</v>
      </c>
      <c r="E12" s="89">
        <f t="shared" si="2"/>
        <v>4.8767344739323759E-2</v>
      </c>
      <c r="F12" s="89">
        <f t="shared" si="2"/>
        <v>9.6488974523656568E-2</v>
      </c>
      <c r="G12" s="85">
        <f t="shared" si="2"/>
        <v>4.6791104516078708E-2</v>
      </c>
      <c r="H12" s="85">
        <f t="shared" si="2"/>
        <v>7.9581075661913525E-2</v>
      </c>
      <c r="I12" s="85">
        <f t="shared" si="2"/>
        <v>7.9149628577134923E-2</v>
      </c>
      <c r="J12" s="85">
        <v>7.0000000000000007E-2</v>
      </c>
      <c r="K12" s="71">
        <v>7.0000000000000007E-2</v>
      </c>
      <c r="L12" s="71">
        <v>6.5000000000000002E-2</v>
      </c>
      <c r="M12" s="71">
        <v>0.06</v>
      </c>
      <c r="N12" s="71">
        <v>5.5E-2</v>
      </c>
      <c r="O12" s="71">
        <v>5.5E-2</v>
      </c>
      <c r="P12" s="71">
        <v>0.04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8.3282089671951456E-2</v>
      </c>
      <c r="D13" s="88">
        <f t="shared" ref="D13:F13" si="3">D14/D11</f>
        <v>0.15575463649018814</v>
      </c>
      <c r="E13" s="88">
        <f t="shared" si="3"/>
        <v>0.14290301862556198</v>
      </c>
      <c r="F13" s="88">
        <f t="shared" si="3"/>
        <v>0.11548899779370136</v>
      </c>
      <c r="G13" s="84">
        <f>G14/G11</f>
        <v>0.12670000000000001</v>
      </c>
      <c r="H13" s="84">
        <f t="shared" ref="H13:I13" si="4">H14/H11</f>
        <v>0.13700000000000001</v>
      </c>
      <c r="I13" s="84">
        <f t="shared" si="4"/>
        <v>0.14560000000000001</v>
      </c>
      <c r="J13" s="84">
        <v>0.14499999999999999</v>
      </c>
      <c r="K13" s="84">
        <v>0.14499999999999999</v>
      </c>
      <c r="L13" s="84">
        <v>0.14749999999999999</v>
      </c>
      <c r="M13" s="84">
        <v>0.14749999999999999</v>
      </c>
      <c r="N13" s="84">
        <v>0.15</v>
      </c>
      <c r="O13" s="84">
        <v>0.15</v>
      </c>
      <c r="P13" s="84">
        <v>0.15</v>
      </c>
      <c r="Q13" s="84">
        <v>0.15</v>
      </c>
    </row>
    <row r="14" spans="1:28" ht="17.25" customHeight="1" x14ac:dyDescent="0.2">
      <c r="A14" s="5"/>
      <c r="B14" s="4" t="s">
        <v>14</v>
      </c>
      <c r="C14" s="82">
        <f>Pessimistisch!C14</f>
        <v>3.1150000000000002</v>
      </c>
      <c r="D14" s="82">
        <f>Pessimistisch!D14</f>
        <v>6.9369999999999994</v>
      </c>
      <c r="E14" s="82">
        <f>Pessimistisch!E14</f>
        <v>6.6749999999999998</v>
      </c>
      <c r="F14" s="82">
        <f>Pessimistisch!F14</f>
        <v>5.9150000000000027</v>
      </c>
      <c r="G14" s="72">
        <f>Pessimistisch!G14</f>
        <v>6.7928304500000003</v>
      </c>
      <c r="H14" s="72">
        <f>Pessimistisch!H14</f>
        <v>7.9295764399999999</v>
      </c>
      <c r="I14" s="72">
        <f>Pessimistisch!I14</f>
        <v>9.0943667359999996</v>
      </c>
      <c r="J14" s="72">
        <f>J11*J13</f>
        <v>9.6908722464999997</v>
      </c>
      <c r="K14" s="72">
        <f t="shared" ref="K14:Q14" si="5">K11*K13</f>
        <v>10.369233303755001</v>
      </c>
      <c r="L14" s="72">
        <f t="shared" si="5"/>
        <v>11.233634045542162</v>
      </c>
      <c r="M14" s="72">
        <f t="shared" si="5"/>
        <v>11.907652088274691</v>
      </c>
      <c r="N14" s="72">
        <f t="shared" si="5"/>
        <v>12.775497918437084</v>
      </c>
      <c r="O14" s="72">
        <f t="shared" si="5"/>
        <v>13.478150303951123</v>
      </c>
      <c r="P14" s="72">
        <f>P11*P13</f>
        <v>14.017276316109168</v>
      </c>
      <c r="Q14" s="72">
        <f t="shared" si="5"/>
        <v>14.297621842431353</v>
      </c>
    </row>
    <row r="15" spans="1:28" x14ac:dyDescent="0.2">
      <c r="A15" s="100">
        <v>0.15</v>
      </c>
      <c r="B15" s="4" t="s">
        <v>36</v>
      </c>
      <c r="C15" s="82">
        <f>Pessimistisch!C15</f>
        <v>2.5390000000000001</v>
      </c>
      <c r="D15" s="82">
        <f>Pessimistisch!D15</f>
        <v>5.7270000000000003</v>
      </c>
      <c r="E15" s="82">
        <f>Pessimistisch!E15</f>
        <v>6.0460000000000003</v>
      </c>
      <c r="F15" s="82">
        <f>Pessimistisch!F15</f>
        <v>5.07</v>
      </c>
      <c r="G15" s="72">
        <f>Pessimistisch!G15</f>
        <v>5.7259218000000009</v>
      </c>
      <c r="H15" s="72">
        <f>Pessimistisch!H15</f>
        <v>6.6272737399999997</v>
      </c>
      <c r="I15" s="72">
        <f>Pessimistisch!I15</f>
        <v>7.5640646409999999</v>
      </c>
      <c r="J15" s="72">
        <f>J14*(1-$A$15)</f>
        <v>8.2372414095249997</v>
      </c>
      <c r="K15" s="72">
        <f>K14*(1-$A$15)</f>
        <v>8.8138483081917514</v>
      </c>
      <c r="L15" s="72">
        <f t="shared" ref="L15:Q15" si="6">L14*(1-$A$15)</f>
        <v>9.5485889387108376</v>
      </c>
      <c r="M15" s="72">
        <f t="shared" si="6"/>
        <v>10.121504275033487</v>
      </c>
      <c r="N15" s="72">
        <f t="shared" si="6"/>
        <v>10.859173230671521</v>
      </c>
      <c r="O15" s="72">
        <f t="shared" si="6"/>
        <v>11.456427758358455</v>
      </c>
      <c r="P15" s="72">
        <f>P14*(1-$A$15)</f>
        <v>11.914684868692792</v>
      </c>
      <c r="Q15" s="72">
        <f t="shared" si="6"/>
        <v>12.152978566066649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0.81508828250401288</v>
      </c>
      <c r="D16" s="15">
        <f t="shared" si="7"/>
        <v>0.82557301427129892</v>
      </c>
      <c r="E16" s="15">
        <f t="shared" si="7"/>
        <v>0.90576779026217236</v>
      </c>
      <c r="F16" s="15">
        <f t="shared" si="7"/>
        <v>0.85714285714285676</v>
      </c>
      <c r="G16" s="15">
        <f t="shared" si="7"/>
        <v>0.84293606945540656</v>
      </c>
      <c r="H16" s="15">
        <f t="shared" si="7"/>
        <v>0.83576642335766416</v>
      </c>
      <c r="I16" s="15">
        <f t="shared" si="7"/>
        <v>0.83173076923076927</v>
      </c>
      <c r="J16" s="15">
        <f t="shared" si="7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3.7425019981155105</v>
      </c>
      <c r="H17" s="72">
        <f t="shared" ref="H17:P17" si="8">H15/H18</f>
        <v>4.3975957822841698</v>
      </c>
      <c r="I17" s="72">
        <f t="shared" si="8"/>
        <v>5.0956477543121785</v>
      </c>
      <c r="J17" s="72">
        <f t="shared" si="8"/>
        <v>5.6336482977050837</v>
      </c>
      <c r="K17" s="72">
        <f t="shared" si="8"/>
        <v>6.1198006888776053</v>
      </c>
      <c r="L17" s="72">
        <f t="shared" si="8"/>
        <v>6.730923792851816</v>
      </c>
      <c r="M17" s="72">
        <f t="shared" si="8"/>
        <v>7.2434306806324109</v>
      </c>
      <c r="N17" s="72">
        <f t="shared" si="8"/>
        <v>7.8896870357744406</v>
      </c>
      <c r="O17" s="72">
        <f t="shared" si="8"/>
        <v>8.4503754545604419</v>
      </c>
      <c r="P17" s="72">
        <f t="shared" si="8"/>
        <v>8.9222238301957955</v>
      </c>
      <c r="Q17" s="72"/>
    </row>
    <row r="18" spans="1:18" ht="35" thickBot="1" x14ac:dyDescent="0.25">
      <c r="A18" s="2" t="s">
        <v>35</v>
      </c>
      <c r="C18" s="107"/>
      <c r="D18" s="82"/>
      <c r="E18" s="82"/>
      <c r="F18" s="82"/>
      <c r="G18" s="72">
        <f>C50</f>
        <v>1.5299716080000001</v>
      </c>
      <c r="H18" s="72">
        <f>G18*Pessimistisch!$C18</f>
        <v>1.50702203388</v>
      </c>
      <c r="I18" s="72">
        <f>H18*Pessimistisch!$C18</f>
        <v>1.4844167033717999</v>
      </c>
      <c r="J18" s="72">
        <f>I18*Pessimistisch!$C18</f>
        <v>1.4621504528212228</v>
      </c>
      <c r="K18" s="72">
        <f>J18*Pessimistisch!$C18</f>
        <v>1.4402181960289044</v>
      </c>
      <c r="L18" s="72">
        <f>K18*Pessimistisch!$C18</f>
        <v>1.4186149230884708</v>
      </c>
      <c r="M18" s="72">
        <f>L18*Pessimistisch!$C18</f>
        <v>1.3973356992421437</v>
      </c>
      <c r="N18" s="72">
        <f>M18*Pessimistisch!$C18</f>
        <v>1.3763756637535116</v>
      </c>
      <c r="O18" s="72">
        <f>N18*Pessimistisch!$C18</f>
        <v>1.3557300287972089</v>
      </c>
      <c r="P18" s="72">
        <f>O18*Pessimistisch!$C18</f>
        <v>1.3353940783652507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5.314203856237965</v>
      </c>
      <c r="H19" s="53">
        <f>H15/(1+$C$55)^2</f>
        <v>5.7084802780408621</v>
      </c>
      <c r="I19" s="53">
        <f>I15/(1+$C$55)^3</f>
        <v>6.0469116704983588</v>
      </c>
      <c r="J19" s="53">
        <f>J15/(1+$C$55)^4</f>
        <v>6.111572738011473</v>
      </c>
      <c r="K19" s="53">
        <f>K15/(1+$C$55)^5</f>
        <v>6.0691736046518736</v>
      </c>
      <c r="L19" s="53">
        <f>L15/(1+$C$55)^6</f>
        <v>6.1023341360556476</v>
      </c>
      <c r="M19" s="53">
        <f>M15/(1+$C$55)^7</f>
        <v>6.0033635900777149</v>
      </c>
      <c r="N19" s="53">
        <f>N15/(1+$C$55)^8</f>
        <v>5.9777691999133147</v>
      </c>
      <c r="O19" s="53">
        <f>O15/(1+$C$55)^9</f>
        <v>5.8530791952560826</v>
      </c>
      <c r="P19" s="53">
        <f>P15/(1+$C$55)^10</f>
        <v>5.6495068220295828</v>
      </c>
      <c r="Q19" s="54">
        <f>(Q15/(C55-Q12))/(1+C55)^10</f>
        <v>100.26093011692343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3.9975000000000011E-2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1.23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7.7475000000000016E-2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7.7475000000000016E-2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7.7475000000000016E-2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45191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56">
        <f>C50*C51</f>
        <v>138.99792058680001</v>
      </c>
      <c r="D49" s="47">
        <f>SUM(G19:Q19)</f>
        <v>159.09732520769631</v>
      </c>
      <c r="E49" s="46"/>
    </row>
    <row r="50" spans="1:17" x14ac:dyDescent="0.2">
      <c r="A50" s="45"/>
      <c r="B50" s="46" t="str">
        <f>Pessimistisch!B50</f>
        <v>Anzahl Aktien gesamt, Mrd.</v>
      </c>
      <c r="C50" s="56">
        <f>Pessimistisch!C50</f>
        <v>1.5299716080000001</v>
      </c>
      <c r="D50" s="56">
        <f>C50</f>
        <v>1.5299716080000001</v>
      </c>
      <c r="E50" s="46"/>
    </row>
    <row r="51" spans="1:17" x14ac:dyDescent="0.2">
      <c r="A51" s="45"/>
      <c r="B51" s="46" t="s">
        <v>11</v>
      </c>
      <c r="C51" s="56">
        <f>Pessimistisch!C51</f>
        <v>90.85</v>
      </c>
      <c r="D51" s="56">
        <f>D49/(D50)</f>
        <v>103.98710954883047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0.12633401972444991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7.7475000000000016E-2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95822.819815298761</v>
      </c>
      <c r="E57" s="46"/>
      <c r="F57" s="1" t="s">
        <v>21</v>
      </c>
      <c r="H57" s="1">
        <f>G15/(1+$B$57)</f>
        <v>5.1677994584837545</v>
      </c>
      <c r="I57" s="1">
        <f>H15/(1+$B$57)^2</f>
        <v>5.3982797736188388</v>
      </c>
      <c r="J57" s="1">
        <f>I15/(1+$B$57)^3</f>
        <v>5.5607830332214263</v>
      </c>
      <c r="K57" s="1">
        <f>J15/(1+$B$57)^4</f>
        <v>5.4654100682347613</v>
      </c>
      <c r="L57" s="1">
        <f>K15/(1+$B$57)^5</f>
        <v>5.2779682066888043</v>
      </c>
      <c r="M57" s="1">
        <f>L15/(1+$B$57)^6</f>
        <v>5.1606051952460312</v>
      </c>
      <c r="N57" s="1">
        <f>M15/(1+$B$57)^7</f>
        <v>4.937041071264253</v>
      </c>
      <c r="O57" s="1">
        <f>N15/(1+$B$57)^8</f>
        <v>4.780558952013509</v>
      </c>
      <c r="P57" s="1">
        <f>O15/(1+$B$57)^9</f>
        <v>4.5518860057529338</v>
      </c>
      <c r="Q57" s="1">
        <f>(Q15/(B57-Q12))/(1+B57)^10</f>
        <v>49.522488050774449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2033</v>
      </c>
      <c r="B59" s="23"/>
      <c r="C59" s="67">
        <v>25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223.05559575489488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0.35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22.479042360358306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-3.3718563540537461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2033</v>
      </c>
      <c r="E70" s="60">
        <f>SUM(E62:E68)</f>
        <v>242.16278176119945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2033 in Prozent</v>
      </c>
      <c r="E72" s="62">
        <f>E70/C51-1</f>
        <v>1.6655231894463345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2033 pro Jahr</v>
      </c>
      <c r="B74" s="64"/>
      <c r="C74" s="64"/>
      <c r="D74" s="64"/>
      <c r="E74" s="104">
        <f>(E70/C51)^(1/10)-1</f>
        <v>0.10300694388972209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Nike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 t="shared" ref="E10:F10" si="0">D10+1</f>
        <v>2022</v>
      </c>
      <c r="F10" s="11">
        <f t="shared" si="0"/>
        <v>2023</v>
      </c>
      <c r="G10" s="55">
        <f>F10+1</f>
        <v>2024</v>
      </c>
      <c r="H10" s="55">
        <f t="shared" ref="H10:P10" si="1">G10+1</f>
        <v>2025</v>
      </c>
      <c r="I10" s="55">
        <f t="shared" si="1"/>
        <v>2026</v>
      </c>
      <c r="J10" s="55">
        <f t="shared" si="1"/>
        <v>2027</v>
      </c>
      <c r="K10" s="55">
        <f t="shared" si="1"/>
        <v>2028</v>
      </c>
      <c r="L10" s="55">
        <f t="shared" si="1"/>
        <v>2029</v>
      </c>
      <c r="M10" s="55">
        <f t="shared" si="1"/>
        <v>2030</v>
      </c>
      <c r="N10" s="55">
        <f t="shared" si="1"/>
        <v>2031</v>
      </c>
      <c r="O10" s="55">
        <f t="shared" si="1"/>
        <v>2032</v>
      </c>
      <c r="P10" s="55">
        <f t="shared" si="1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82">
        <f>Pessimistisch!C11</f>
        <v>37.402999999999999</v>
      </c>
      <c r="D11" s="82">
        <f>Pessimistisch!D11</f>
        <v>44.537999999999997</v>
      </c>
      <c r="E11" s="82">
        <f>Pessimistisch!E11</f>
        <v>46.71</v>
      </c>
      <c r="F11" s="82">
        <f>Pessimistisch!F11</f>
        <v>51.216999999999999</v>
      </c>
      <c r="G11" s="72">
        <f>F11*(1+G12)</f>
        <v>53.521764999999995</v>
      </c>
      <c r="H11" s="72">
        <f t="shared" ref="H11:J11" si="2">G11*(1+H12)</f>
        <v>55.930244424999991</v>
      </c>
      <c r="I11" s="72">
        <f t="shared" si="2"/>
        <v>58.447105424124985</v>
      </c>
      <c r="J11" s="72">
        <f t="shared" si="2"/>
        <v>61.077225168210603</v>
      </c>
      <c r="K11" s="72">
        <f>J11*(1+K12)</f>
        <v>63.825700300780078</v>
      </c>
      <c r="L11" s="72">
        <f t="shared" ref="L11:Q11" si="3">K11*(1+L12)</f>
        <v>66.697856814315173</v>
      </c>
      <c r="M11" s="72">
        <f t="shared" si="3"/>
        <v>69.699260370959351</v>
      </c>
      <c r="N11" s="72">
        <f t="shared" si="3"/>
        <v>72.835727087652515</v>
      </c>
      <c r="O11" s="72">
        <f t="shared" si="3"/>
        <v>76.113334806596868</v>
      </c>
      <c r="P11" s="72">
        <f t="shared" si="3"/>
        <v>79.538434872893717</v>
      </c>
      <c r="Q11" s="72">
        <f t="shared" si="3"/>
        <v>81.129203570351592</v>
      </c>
    </row>
    <row r="12" spans="1:28" x14ac:dyDescent="0.2">
      <c r="A12" s="5"/>
      <c r="B12" s="4" t="s">
        <v>1</v>
      </c>
      <c r="C12" s="86"/>
      <c r="D12" s="89">
        <f>D11/C11-1</f>
        <v>0.19076009945726269</v>
      </c>
      <c r="E12" s="89">
        <f>E11/D11-1</f>
        <v>4.8767344739323759E-2</v>
      </c>
      <c r="F12" s="89">
        <f>F11/E11-1</f>
        <v>9.6488974523656568E-2</v>
      </c>
      <c r="G12" s="85">
        <v>4.4999999999999998E-2</v>
      </c>
      <c r="H12" s="85">
        <f>G12</f>
        <v>4.4999999999999998E-2</v>
      </c>
      <c r="I12" s="85">
        <f t="shared" ref="I12:O12" si="4">H12</f>
        <v>4.4999999999999998E-2</v>
      </c>
      <c r="J12" s="85">
        <f t="shared" si="4"/>
        <v>4.4999999999999998E-2</v>
      </c>
      <c r="K12" s="85">
        <f t="shared" si="4"/>
        <v>4.4999999999999998E-2</v>
      </c>
      <c r="L12" s="85">
        <f t="shared" si="4"/>
        <v>4.4999999999999998E-2</v>
      </c>
      <c r="M12" s="85">
        <f t="shared" si="4"/>
        <v>4.4999999999999998E-2</v>
      </c>
      <c r="N12" s="85">
        <f t="shared" si="4"/>
        <v>4.4999999999999998E-2</v>
      </c>
      <c r="O12" s="85">
        <f t="shared" si="4"/>
        <v>4.4999999999999998E-2</v>
      </c>
      <c r="P12" s="85">
        <v>4.4999999999999998E-2</v>
      </c>
      <c r="Q12" s="85">
        <f>Optimistisch!Q12</f>
        <v>0.02</v>
      </c>
    </row>
    <row r="13" spans="1:28" ht="16" customHeight="1" x14ac:dyDescent="0.2">
      <c r="A13" s="5"/>
      <c r="B13" s="4" t="s">
        <v>13</v>
      </c>
      <c r="C13" s="88">
        <f>C14/C11</f>
        <v>8.3282089671951456E-2</v>
      </c>
      <c r="D13" s="88">
        <f t="shared" ref="D13:F13" si="5">D14/D11</f>
        <v>0.15575463649018814</v>
      </c>
      <c r="E13" s="88">
        <f t="shared" si="5"/>
        <v>0.14290301862556198</v>
      </c>
      <c r="F13" s="88">
        <f t="shared" si="5"/>
        <v>0.11548899779370136</v>
      </c>
      <c r="G13" s="84">
        <v>0.12670000000000001</v>
      </c>
      <c r="H13" s="84">
        <v>0.13700000000000001</v>
      </c>
      <c r="I13" s="84">
        <v>0.14560000000000001</v>
      </c>
      <c r="J13" s="84">
        <f>Optimistisch!J13</f>
        <v>0.14499999999999999</v>
      </c>
      <c r="K13" s="84">
        <f>Optimistisch!K13</f>
        <v>0.14499999999999999</v>
      </c>
      <c r="L13" s="84">
        <f>Optimistisch!L13</f>
        <v>0.14749999999999999</v>
      </c>
      <c r="M13" s="84">
        <f>Optimistisch!M13</f>
        <v>0.14749999999999999</v>
      </c>
      <c r="N13" s="84">
        <f>Optimistisch!N13</f>
        <v>0.15</v>
      </c>
      <c r="O13" s="84">
        <f>Optimistisch!O13</f>
        <v>0.15</v>
      </c>
      <c r="P13" s="84">
        <f>Optimistisch!P13</f>
        <v>0.15</v>
      </c>
      <c r="Q13" s="84">
        <f>Optimistisch!Q13</f>
        <v>0.15</v>
      </c>
    </row>
    <row r="14" spans="1:28" ht="17.25" customHeight="1" x14ac:dyDescent="0.2">
      <c r="A14" s="5"/>
      <c r="B14" s="4" t="s">
        <v>14</v>
      </c>
      <c r="C14" s="82">
        <f>Pessimistisch!C14</f>
        <v>3.1150000000000002</v>
      </c>
      <c r="D14" s="82">
        <f>Pessimistisch!D14</f>
        <v>6.9369999999999994</v>
      </c>
      <c r="E14" s="82">
        <f>Pessimistisch!E14</f>
        <v>6.6749999999999998</v>
      </c>
      <c r="F14" s="82">
        <f>Pessimistisch!F14</f>
        <v>5.9150000000000027</v>
      </c>
      <c r="G14" s="72">
        <f t="shared" ref="G14:J14" si="6">G11*G13</f>
        <v>6.7812076254999996</v>
      </c>
      <c r="H14" s="72">
        <f t="shared" si="6"/>
        <v>7.6624434862249995</v>
      </c>
      <c r="I14" s="72">
        <f t="shared" si="6"/>
        <v>8.5098985497525987</v>
      </c>
      <c r="J14" s="72">
        <f t="shared" si="6"/>
        <v>8.8561976493905377</v>
      </c>
      <c r="K14" s="72">
        <f t="shared" ref="K14:Q14" si="7">K11*K13</f>
        <v>9.2547265436131099</v>
      </c>
      <c r="L14" s="72">
        <f t="shared" si="7"/>
        <v>9.8379338801114873</v>
      </c>
      <c r="M14" s="72">
        <f t="shared" si="7"/>
        <v>10.280640904716504</v>
      </c>
      <c r="N14" s="72">
        <f t="shared" si="7"/>
        <v>10.925359063147877</v>
      </c>
      <c r="O14" s="72">
        <f>O11*O13</f>
        <v>11.41700022098953</v>
      </c>
      <c r="P14" s="72">
        <f t="shared" si="7"/>
        <v>11.930765230934057</v>
      </c>
      <c r="Q14" s="72">
        <f t="shared" si="7"/>
        <v>12.169380535552738</v>
      </c>
    </row>
    <row r="15" spans="1:28" x14ac:dyDescent="0.2">
      <c r="A15" s="100">
        <v>0.15</v>
      </c>
      <c r="B15" s="4" t="s">
        <v>36</v>
      </c>
      <c r="C15" s="82">
        <f>Pessimistisch!C15</f>
        <v>2.5390000000000001</v>
      </c>
      <c r="D15" s="82">
        <f>Pessimistisch!D15</f>
        <v>5.7270000000000003</v>
      </c>
      <c r="E15" s="82">
        <f>Pessimistisch!E15</f>
        <v>6.0460000000000003</v>
      </c>
      <c r="F15" s="82">
        <f>Pessimistisch!F15</f>
        <v>5.07</v>
      </c>
      <c r="G15" s="72">
        <f>Pessimistisch!G15</f>
        <v>5.7259218000000009</v>
      </c>
      <c r="H15" s="72">
        <f>Pessimistisch!H15</f>
        <v>6.6272737399999997</v>
      </c>
      <c r="I15" s="72">
        <f>Pessimistisch!I15</f>
        <v>7.5640646409999999</v>
      </c>
      <c r="J15" s="72">
        <f>J14*(1-$A$15)</f>
        <v>7.5277680019819568</v>
      </c>
      <c r="K15" s="72">
        <f>K14*(1-$A$15)</f>
        <v>7.8665175620711434</v>
      </c>
      <c r="L15" s="72">
        <f t="shared" ref="L15:Q15" si="8">L14*(1-$A$15)</f>
        <v>8.3622437980947648</v>
      </c>
      <c r="M15" s="72">
        <f t="shared" si="8"/>
        <v>8.7385447690090281</v>
      </c>
      <c r="N15" s="72">
        <f t="shared" si="8"/>
        <v>9.2865552036756949</v>
      </c>
      <c r="O15" s="72">
        <f>O14*(1-$A$15)</f>
        <v>9.7044501878411005</v>
      </c>
      <c r="P15" s="72">
        <f t="shared" si="8"/>
        <v>10.141150446293947</v>
      </c>
      <c r="Q15" s="72">
        <f t="shared" si="8"/>
        <v>10.343973455219828</v>
      </c>
    </row>
    <row r="16" spans="1:28" ht="22" hidden="1" thickBot="1" x14ac:dyDescent="0.25">
      <c r="A16" s="13" t="s">
        <v>5</v>
      </c>
      <c r="B16" s="14"/>
      <c r="C16" s="15">
        <f t="shared" ref="C16:J16" si="9">C15/C14</f>
        <v>0.81508828250401288</v>
      </c>
      <c r="D16" s="15">
        <f t="shared" si="9"/>
        <v>0.82557301427129892</v>
      </c>
      <c r="E16" s="15">
        <f t="shared" si="9"/>
        <v>0.90576779026217236</v>
      </c>
      <c r="F16" s="15">
        <f t="shared" si="9"/>
        <v>0.85714285714285676</v>
      </c>
      <c r="G16" s="15">
        <f t="shared" si="9"/>
        <v>0.84438084132216951</v>
      </c>
      <c r="H16" s="15">
        <f t="shared" si="9"/>
        <v>0.86490344129963825</v>
      </c>
      <c r="I16" s="15">
        <f t="shared" si="9"/>
        <v>0.88885485494065064</v>
      </c>
      <c r="J16" s="15">
        <f t="shared" si="9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3.7425019981155105</v>
      </c>
      <c r="H17" s="72">
        <f t="shared" ref="H17:O17" si="10">H15/H18</f>
        <v>4.3975957822841698</v>
      </c>
      <c r="I17" s="72">
        <f t="shared" si="10"/>
        <v>5.0956477543121785</v>
      </c>
      <c r="J17" s="72">
        <f t="shared" si="10"/>
        <v>5.1484223032295411</v>
      </c>
      <c r="K17" s="72">
        <f t="shared" si="10"/>
        <v>5.4620317836293095</v>
      </c>
      <c r="L17" s="72">
        <f t="shared" si="10"/>
        <v>5.8946537654413635</v>
      </c>
      <c r="M17" s="72">
        <f t="shared" si="10"/>
        <v>6.2537189694276387</v>
      </c>
      <c r="N17" s="72">
        <f t="shared" si="10"/>
        <v>6.747107964950751</v>
      </c>
      <c r="O17" s="72">
        <f t="shared" si="10"/>
        <v>7.1580993130695783</v>
      </c>
      <c r="P17" s="72">
        <f>P15/P18</f>
        <v>7.5941256671651853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1.5299716080000001</v>
      </c>
      <c r="H18" s="72">
        <f>G18*Pessimistisch!$C18</f>
        <v>1.50702203388</v>
      </c>
      <c r="I18" s="72">
        <f>H18*Pessimistisch!$C18</f>
        <v>1.4844167033717999</v>
      </c>
      <c r="J18" s="72">
        <f>I18*Pessimistisch!$C18</f>
        <v>1.4621504528212228</v>
      </c>
      <c r="K18" s="72">
        <f>J18*Pessimistisch!$C18</f>
        <v>1.4402181960289044</v>
      </c>
      <c r="L18" s="72">
        <f>K18*Pessimistisch!$C18</f>
        <v>1.4186149230884708</v>
      </c>
      <c r="M18" s="72">
        <f>L18*Pessimistisch!$C18</f>
        <v>1.3973356992421437</v>
      </c>
      <c r="N18" s="72">
        <f>M18*Pessimistisch!$C18</f>
        <v>1.3763756637535116</v>
      </c>
      <c r="O18" s="72">
        <f>N18*Pessimistisch!$C18</f>
        <v>1.3557300287972089</v>
      </c>
      <c r="P18" s="72">
        <f>O18*Pessimistisch!$C18</f>
        <v>1.3353940783652507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5.314203856237965</v>
      </c>
      <c r="H19" s="53">
        <f>H15/(1+$C$55)^2</f>
        <v>5.7084802780408621</v>
      </c>
      <c r="I19" s="53">
        <f>I15/(1+$C$55)^3</f>
        <v>6.0469116704983588</v>
      </c>
      <c r="J19" s="53">
        <f>J15/(1+$C$55)^4</f>
        <v>5.5851831228096769</v>
      </c>
      <c r="K19" s="53">
        <f>K15/(1+$C$55)^5</f>
        <v>5.4168462037041341</v>
      </c>
      <c r="L19" s="53">
        <f>L15/(1+$C$55)^6</f>
        <v>5.3441619605443824</v>
      </c>
      <c r="M19" s="53">
        <f>M15/(1+$C$55)^7</f>
        <v>5.1830893976833607</v>
      </c>
      <c r="N19" s="53">
        <f>N15/(1+$C$55)^8</f>
        <v>5.1120727601096041</v>
      </c>
      <c r="O19" s="53">
        <f>O15/(1+$C$55)^9</f>
        <v>4.9579953449634901</v>
      </c>
      <c r="P19" s="53">
        <f>P15/(1+$C$55)^10</f>
        <v>4.8085618093105129</v>
      </c>
      <c r="Q19" s="54">
        <f>(Q15/(C55-Q12))/(1+C55)^10</f>
        <v>85.336808099116553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3.9975000000000011E-2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v>1.23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7.7475000000000016E-2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7.7475000000000016E-2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7.7475000000000016E-2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45191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56">
        <f>C50*C51</f>
        <v>138.99792058680001</v>
      </c>
      <c r="D49" s="47">
        <f>SUM(G19:Q19)</f>
        <v>138.81431450301892</v>
      </c>
      <c r="E49" s="46"/>
    </row>
    <row r="50" spans="1:20" x14ac:dyDescent="0.2">
      <c r="A50" s="45"/>
      <c r="B50" s="46" t="str">
        <f>Pessimistisch!B50</f>
        <v>Anzahl Aktien gesamt, Mrd.</v>
      </c>
      <c r="C50" s="56">
        <f>Pessimistisch!C50</f>
        <v>1.5299716080000001</v>
      </c>
      <c r="D50" s="56">
        <f>C50</f>
        <v>1.5299716080000001</v>
      </c>
      <c r="E50" s="46"/>
    </row>
    <row r="51" spans="1:20" x14ac:dyDescent="0.2">
      <c r="A51" s="45"/>
      <c r="B51" s="46" t="s">
        <v>11</v>
      </c>
      <c r="C51" s="56">
        <f>Pessimistisch!C51</f>
        <v>90.85</v>
      </c>
      <c r="D51" s="87">
        <f>D49/(D50)</f>
        <v>90.729993796733851</v>
      </c>
      <c r="E51" s="46"/>
    </row>
    <row r="52" spans="1:20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20" x14ac:dyDescent="0.2">
      <c r="A53" s="45"/>
      <c r="B53" s="46" t="s">
        <v>12</v>
      </c>
      <c r="C53" s="46"/>
      <c r="D53" s="58">
        <f>IF(C51/D51-1&lt;0,0,C51/D51-1)</f>
        <v>1.3226739939495857E-3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7.7475000000000016E-2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3">
        <v>0.108</v>
      </c>
      <c r="C57" s="50"/>
      <c r="D57" s="74">
        <f>SUM(H57:Q57)*1000</f>
        <v>84709.074123294296</v>
      </c>
      <c r="E57" s="46"/>
      <c r="F57" s="1" t="s">
        <v>21</v>
      </c>
      <c r="H57" s="1">
        <f>G15/(1+$B$57)</f>
        <v>5.1677994584837545</v>
      </c>
      <c r="I57" s="1">
        <f>H15/(1+$B$57)^2</f>
        <v>5.3982797736188388</v>
      </c>
      <c r="J57" s="1">
        <f>I15/(1+$B$57)^3</f>
        <v>5.5607830332214263</v>
      </c>
      <c r="K57" s="1">
        <f>J15/(1+$B$57)^4</f>
        <v>4.9946744284795868</v>
      </c>
      <c r="L57" s="1">
        <f>K15/(1+$B$57)^5</f>
        <v>4.7106812073656741</v>
      </c>
      <c r="M57" s="1">
        <f>L15/(1+$B$57)^6</f>
        <v>4.5194362293061525</v>
      </c>
      <c r="N57" s="1">
        <f>M15/(1+$B$57)^7</f>
        <v>4.2624646747517403</v>
      </c>
      <c r="O57" s="1">
        <f>N15/(1+$B$57)^8</f>
        <v>4.0882416800301966</v>
      </c>
      <c r="P57" s="1">
        <f>O15/(1+$B$57)^9</f>
        <v>3.8557875050826302</v>
      </c>
      <c r="Q57" s="1">
        <f>(Q15/(B57-Q12))/(1+B57)^10</f>
        <v>42.150926132954289</v>
      </c>
    </row>
    <row r="58" spans="1:20" ht="17" thickBot="1" x14ac:dyDescent="0.25">
      <c r="A58" s="22"/>
      <c r="C58" s="65"/>
      <c r="D58" s="66"/>
    </row>
    <row r="59" spans="1:20" x14ac:dyDescent="0.2">
      <c r="A59" s="59" t="str">
        <f>Pessimistisch!A59</f>
        <v>KGV Multiple in 2033</v>
      </c>
      <c r="B59" s="23"/>
      <c r="C59" s="67">
        <v>29</v>
      </c>
      <c r="D59" s="23"/>
      <c r="E59" s="24"/>
    </row>
    <row r="60" spans="1:20" x14ac:dyDescent="0.2">
      <c r="A60" s="25" t="s">
        <v>19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34</v>
      </c>
      <c r="C62" s="68"/>
      <c r="E62" s="60">
        <f>P17*C59</f>
        <v>220.22964434779038</v>
      </c>
    </row>
    <row r="63" spans="1:20" x14ac:dyDescent="0.2">
      <c r="A63" s="25"/>
      <c r="C63" s="68"/>
      <c r="E63" s="26"/>
    </row>
    <row r="64" spans="1:20" x14ac:dyDescent="0.2">
      <c r="A64" s="25" t="s">
        <v>15</v>
      </c>
      <c r="C64" s="69">
        <v>0.35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20.122866855568827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-3.0184300283353238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Pessimistisch!A70</f>
        <v>Gesamtwert 2033</v>
      </c>
      <c r="E70" s="60">
        <f>SUM(E62:E68)</f>
        <v>237.33408117502387</v>
      </c>
    </row>
    <row r="71" spans="1:5" x14ac:dyDescent="0.2">
      <c r="A71" s="25"/>
      <c r="E71" s="60"/>
    </row>
    <row r="72" spans="1:5" x14ac:dyDescent="0.2">
      <c r="A72" s="25" t="str">
        <f>Pessimistisch!A72</f>
        <v>Steigerung Gesamt bis 2033 in Prozent</v>
      </c>
      <c r="E72" s="62">
        <f>E70/C51-1</f>
        <v>1.6123729353332292</v>
      </c>
    </row>
    <row r="73" spans="1:5" x14ac:dyDescent="0.2">
      <c r="A73" s="25"/>
      <c r="E73" s="106"/>
    </row>
    <row r="74" spans="1:5" ht="17" thickBot="1" x14ac:dyDescent="0.25">
      <c r="A74" s="63" t="str">
        <f>Pessimistisch!A74</f>
        <v>Renditeerwartung bis 2033 pro Jahr</v>
      </c>
      <c r="B74" s="64"/>
      <c r="C74" s="64"/>
      <c r="D74" s="64"/>
      <c r="E74" s="105">
        <f>(E70/C51)^(1/10)-1</f>
        <v>0.10078757170193797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2023-09-23T00:31:11Z</dcterms:modified>
</cp:coreProperties>
</file>