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ilmanreichel/Documents/Wir lieben Aktien/Analysen/Watches of Switzerland/WOSG/"/>
    </mc:Choice>
  </mc:AlternateContent>
  <xr:revisionPtr revIDLastSave="0" documentId="13_ncr:1_{E3C214E1-A256-9649-A0F4-086C325EFF64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Pessimistisch" sheetId="34" r:id="rId1"/>
    <sheet name="Optimistisch" sheetId="32" r:id="rId2"/>
    <sheet name="Wachstum für faire Bewertung" sheetId="3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34" l="1"/>
  <c r="I13" i="32" l="1"/>
  <c r="H12" i="35"/>
  <c r="I12" i="35" s="1"/>
  <c r="J12" i="35" s="1"/>
  <c r="K12" i="35" s="1"/>
  <c r="L12" i="35" s="1"/>
  <c r="M12" i="35" s="1"/>
  <c r="N12" i="35" s="1"/>
  <c r="O12" i="35" s="1"/>
  <c r="P12" i="35" s="1"/>
  <c r="C50" i="35" l="1"/>
  <c r="C50" i="32"/>
  <c r="H13" i="34"/>
  <c r="I13" i="34"/>
  <c r="G13" i="34"/>
  <c r="H13" i="32"/>
  <c r="G13" i="32"/>
  <c r="G11" i="35"/>
  <c r="G14" i="35" s="1"/>
  <c r="J11" i="34"/>
  <c r="K11" i="34" s="1"/>
  <c r="C48" i="35"/>
  <c r="D13" i="35"/>
  <c r="E13" i="35"/>
  <c r="F13" i="35"/>
  <c r="C13" i="35"/>
  <c r="D10" i="35"/>
  <c r="E10" i="35" s="1"/>
  <c r="F10" i="35" s="1"/>
  <c r="G10" i="35" s="1"/>
  <c r="H10" i="35" s="1"/>
  <c r="I10" i="35" s="1"/>
  <c r="J10" i="35" s="1"/>
  <c r="K10" i="35" s="1"/>
  <c r="L10" i="35" s="1"/>
  <c r="M10" i="35" s="1"/>
  <c r="N10" i="35" s="1"/>
  <c r="O10" i="35" s="1"/>
  <c r="P10" i="35" s="1"/>
  <c r="Q10" i="35" s="1"/>
  <c r="D10" i="32"/>
  <c r="E10" i="32" s="1"/>
  <c r="F10" i="32" s="1"/>
  <c r="G10" i="32" s="1"/>
  <c r="H10" i="32" s="1"/>
  <c r="I10" i="32" s="1"/>
  <c r="J10" i="32" s="1"/>
  <c r="K10" i="32" s="1"/>
  <c r="L10" i="32" s="1"/>
  <c r="M10" i="32" s="1"/>
  <c r="N10" i="32" s="1"/>
  <c r="O10" i="32" s="1"/>
  <c r="P10" i="32" s="1"/>
  <c r="Q10" i="32" s="1"/>
  <c r="C48" i="32"/>
  <c r="C48" i="34"/>
  <c r="D10" i="34"/>
  <c r="E10" i="34" s="1"/>
  <c r="F10" i="34" s="1"/>
  <c r="G10" i="34" s="1"/>
  <c r="H10" i="34" s="1"/>
  <c r="I10" i="34" s="1"/>
  <c r="J10" i="34" s="1"/>
  <c r="K10" i="34" s="1"/>
  <c r="L10" i="34" s="1"/>
  <c r="M10" i="34" s="1"/>
  <c r="N10" i="34" s="1"/>
  <c r="O10" i="34" s="1"/>
  <c r="P10" i="34" s="1"/>
  <c r="Q10" i="34" s="1"/>
  <c r="D13" i="32"/>
  <c r="E13" i="32"/>
  <c r="F13" i="32"/>
  <c r="C13" i="32"/>
  <c r="C55" i="34"/>
  <c r="C49" i="34"/>
  <c r="D50" i="34"/>
  <c r="I31" i="34"/>
  <c r="D13" i="34"/>
  <c r="E13" i="34"/>
  <c r="F13" i="34"/>
  <c r="C13" i="34"/>
  <c r="H11" i="35" l="1"/>
  <c r="H14" i="35" s="1"/>
  <c r="I12" i="32"/>
  <c r="I11" i="35" l="1"/>
  <c r="I14" i="35" s="1"/>
  <c r="H12" i="34"/>
  <c r="I12" i="34"/>
  <c r="H12" i="32"/>
  <c r="D50" i="35" l="1"/>
  <c r="C49" i="35"/>
  <c r="I31" i="35"/>
  <c r="I33" i="35" s="1"/>
  <c r="D46" i="35" s="1"/>
  <c r="C55" i="35" s="1"/>
  <c r="I25" i="35"/>
  <c r="G18" i="35"/>
  <c r="F16" i="35"/>
  <c r="E16" i="35"/>
  <c r="D16" i="35"/>
  <c r="C16" i="35"/>
  <c r="F12" i="35"/>
  <c r="E12" i="35"/>
  <c r="D12" i="35"/>
  <c r="H18" i="35" l="1"/>
  <c r="I18" i="35" s="1"/>
  <c r="J18" i="35" s="1"/>
  <c r="K18" i="35" s="1"/>
  <c r="L18" i="35" s="1"/>
  <c r="M18" i="35" s="1"/>
  <c r="N18" i="35" s="1"/>
  <c r="O18" i="35" s="1"/>
  <c r="P18" i="35" s="1"/>
  <c r="J11" i="35"/>
  <c r="J14" i="35" s="1"/>
  <c r="K11" i="35" l="1"/>
  <c r="D50" i="32"/>
  <c r="G18" i="34"/>
  <c r="H18" i="34" s="1"/>
  <c r="I18" i="34" s="1"/>
  <c r="J18" i="34" s="1"/>
  <c r="K18" i="34" s="1"/>
  <c r="L18" i="34" s="1"/>
  <c r="M18" i="34" s="1"/>
  <c r="N18" i="34" s="1"/>
  <c r="O18" i="34" s="1"/>
  <c r="P18" i="34" s="1"/>
  <c r="G18" i="32"/>
  <c r="H18" i="32" s="1"/>
  <c r="I18" i="32" s="1"/>
  <c r="J18" i="32" s="1"/>
  <c r="K18" i="32" s="1"/>
  <c r="L18" i="32" s="1"/>
  <c r="M18" i="32" s="1"/>
  <c r="N18" i="32" s="1"/>
  <c r="O18" i="32" s="1"/>
  <c r="P18" i="32" s="1"/>
  <c r="L11" i="35" l="1"/>
  <c r="L14" i="35" s="1"/>
  <c r="K14" i="35"/>
  <c r="I25" i="32"/>
  <c r="G12" i="34" l="1"/>
  <c r="E12" i="34"/>
  <c r="F12" i="34"/>
  <c r="D12" i="34"/>
  <c r="D12" i="32" l="1"/>
  <c r="E12" i="32"/>
  <c r="F12" i="32"/>
  <c r="G12" i="32"/>
  <c r="C16" i="34" l="1"/>
  <c r="F16" i="34"/>
  <c r="E16" i="34"/>
  <c r="D16" i="34"/>
  <c r="C49" i="32"/>
  <c r="I33" i="34" l="1"/>
  <c r="D46" i="34" s="1"/>
  <c r="I25" i="34"/>
  <c r="I57" i="32"/>
  <c r="I31" i="32"/>
  <c r="I33" i="32" s="1"/>
  <c r="D46" i="32" s="1"/>
  <c r="C55" i="32" s="1"/>
  <c r="C16" i="32"/>
  <c r="G19" i="32" l="1"/>
  <c r="H16" i="32"/>
  <c r="H19" i="32"/>
  <c r="H57" i="32"/>
  <c r="G16" i="32"/>
  <c r="F16" i="32" l="1"/>
  <c r="E16" i="32"/>
  <c r="D16" i="32"/>
  <c r="J57" i="32" l="1"/>
  <c r="I16" i="32"/>
  <c r="I19" i="32"/>
  <c r="H17" i="32" l="1"/>
  <c r="G17" i="32"/>
  <c r="I17" i="32" l="1"/>
  <c r="H15" i="35" l="1"/>
  <c r="G15" i="35"/>
  <c r="G17" i="35" s="1"/>
  <c r="I15" i="35" l="1"/>
  <c r="I57" i="35" l="1"/>
  <c r="H19" i="35"/>
  <c r="H17" i="35"/>
  <c r="H16" i="35"/>
  <c r="H57" i="35"/>
  <c r="G19" i="35"/>
  <c r="G16" i="35"/>
  <c r="J15" i="35"/>
  <c r="J57" i="35" l="1"/>
  <c r="I19" i="35"/>
  <c r="I17" i="35"/>
  <c r="I16" i="35"/>
  <c r="J16" i="35"/>
  <c r="K15" i="35"/>
  <c r="K57" i="35" l="1"/>
  <c r="J19" i="35"/>
  <c r="J17" i="35"/>
  <c r="K17" i="35"/>
  <c r="K19" i="35"/>
  <c r="L57" i="35"/>
  <c r="M11" i="35"/>
  <c r="M14" i="35" s="1"/>
  <c r="L15" i="35"/>
  <c r="M57" i="35" l="1"/>
  <c r="L17" i="35"/>
  <c r="L19" i="35"/>
  <c r="M15" i="35"/>
  <c r="N11" i="35"/>
  <c r="N14" i="35" s="1"/>
  <c r="N15" i="35" l="1"/>
  <c r="O11" i="35"/>
  <c r="O14" i="35" s="1"/>
  <c r="M19" i="35"/>
  <c r="N57" i="35"/>
  <c r="M17" i="35"/>
  <c r="P11" i="35" l="1"/>
  <c r="P14" i="35" s="1"/>
  <c r="O15" i="35"/>
  <c r="N17" i="35"/>
  <c r="N19" i="35"/>
  <c r="O57" i="35"/>
  <c r="O17" i="35" l="1"/>
  <c r="O19" i="35"/>
  <c r="P57" i="35"/>
  <c r="Q11" i="35"/>
  <c r="Q14" i="35" s="1"/>
  <c r="P15" i="35"/>
  <c r="Q15" i="35" l="1"/>
  <c r="P19" i="35"/>
  <c r="P17" i="35"/>
  <c r="Q57" i="35" l="1"/>
  <c r="D57" i="35" s="1"/>
  <c r="D43" i="35"/>
  <c r="D41" i="35"/>
  <c r="Q19" i="35"/>
  <c r="D49" i="35" s="1"/>
  <c r="D51" i="35" s="1"/>
  <c r="D53" i="35" s="1"/>
  <c r="D42" i="35"/>
  <c r="D44" i="35"/>
  <c r="D40" i="35"/>
  <c r="E62" i="35"/>
  <c r="E66" i="35"/>
  <c r="E68" i="35" s="1"/>
  <c r="E70" i="35" l="1"/>
  <c r="E74" i="35" s="1"/>
  <c r="D52" i="35" l="1"/>
  <c r="E72" i="35"/>
  <c r="J14" i="34" l="1"/>
  <c r="J15" i="34" s="1"/>
  <c r="J19" i="34" l="1"/>
  <c r="K57" i="34"/>
  <c r="J17" i="34"/>
  <c r="J16" i="34"/>
  <c r="L11" i="34"/>
  <c r="K14" i="34"/>
  <c r="K15" i="34" s="1"/>
  <c r="K17" i="34" l="1"/>
  <c r="L57" i="34"/>
  <c r="K19" i="34"/>
  <c r="M11" i="34"/>
  <c r="L14" i="34"/>
  <c r="L15" i="34" s="1"/>
  <c r="L19" i="34" l="1"/>
  <c r="L17" i="34"/>
  <c r="M57" i="34"/>
  <c r="M14" i="34"/>
  <c r="M15" i="34" s="1"/>
  <c r="N11" i="34"/>
  <c r="N14" i="34" l="1"/>
  <c r="N15" i="34" s="1"/>
  <c r="O11" i="34"/>
  <c r="M19" i="34"/>
  <c r="N57" i="34"/>
  <c r="M17" i="34"/>
  <c r="O14" i="34" l="1"/>
  <c r="O15" i="34" s="1"/>
  <c r="P11" i="34"/>
  <c r="O57" i="34"/>
  <c r="N17" i="34"/>
  <c r="N19" i="34"/>
  <c r="Q11" i="34" l="1"/>
  <c r="Q14" i="34" s="1"/>
  <c r="Q15" i="34" s="1"/>
  <c r="Q19" i="34" s="1"/>
  <c r="P14" i="34"/>
  <c r="P15" i="34" s="1"/>
  <c r="P57" i="34"/>
  <c r="O17" i="34"/>
  <c r="O19" i="34"/>
  <c r="P17" i="34" l="1"/>
  <c r="E62" i="34" s="1"/>
  <c r="P19" i="34"/>
  <c r="D49" i="34"/>
  <c r="Q57" i="34"/>
  <c r="J11" i="32" l="1"/>
  <c r="K11" i="32" s="1"/>
  <c r="L11" i="32" l="1"/>
  <c r="K14" i="32"/>
  <c r="K15" i="32" s="1"/>
  <c r="K19" i="32" s="1"/>
  <c r="J14" i="32"/>
  <c r="L14" i="32"/>
  <c r="L15" i="32" s="1"/>
  <c r="M11" i="32"/>
  <c r="L57" i="32" l="1"/>
  <c r="K17" i="32"/>
  <c r="J15" i="32"/>
  <c r="J16" i="32" s="1"/>
  <c r="N11" i="32"/>
  <c r="M14" i="32"/>
  <c r="M15" i="32" s="1"/>
  <c r="L17" i="32"/>
  <c r="L19" i="32"/>
  <c r="M57" i="32"/>
  <c r="J19" i="32" l="1"/>
  <c r="J17" i="32"/>
  <c r="K57" i="32"/>
  <c r="M17" i="32"/>
  <c r="M19" i="32"/>
  <c r="N57" i="32"/>
  <c r="N14" i="32"/>
  <c r="N15" i="32" s="1"/>
  <c r="O11" i="32"/>
  <c r="P11" i="32" l="1"/>
  <c r="O14" i="32"/>
  <c r="O15" i="32" s="1"/>
  <c r="N19" i="32"/>
  <c r="N17" i="32"/>
  <c r="O57" i="32"/>
  <c r="P57" i="32" l="1"/>
  <c r="O17" i="32"/>
  <c r="O19" i="32"/>
  <c r="Q11" i="32"/>
  <c r="Q14" i="32" s="1"/>
  <c r="Q15" i="32" s="1"/>
  <c r="P14" i="32"/>
  <c r="P15" i="32" s="1"/>
  <c r="D44" i="32" l="1"/>
  <c r="D41" i="32"/>
  <c r="D42" i="32"/>
  <c r="D40" i="32"/>
  <c r="P17" i="32"/>
  <c r="P19" i="32"/>
  <c r="D43" i="32"/>
  <c r="Q57" i="32"/>
  <c r="D57" i="32" s="1"/>
  <c r="Q19" i="32"/>
  <c r="D49" i="32" l="1"/>
  <c r="D51" i="32" s="1"/>
  <c r="D53" i="32" s="1"/>
  <c r="E62" i="32"/>
  <c r="E66" i="32"/>
  <c r="E68" i="32" s="1"/>
  <c r="D52" i="32" l="1"/>
  <c r="E70" i="32"/>
  <c r="E72" i="32" l="1"/>
  <c r="E74" i="32"/>
  <c r="G17" i="34"/>
  <c r="D51" i="34"/>
  <c r="H57" i="34"/>
  <c r="J57" i="34"/>
  <c r="I17" i="34"/>
  <c r="I16" i="34"/>
  <c r="I19" i="34"/>
  <c r="D43" i="34"/>
  <c r="D44" i="34"/>
  <c r="D40" i="34"/>
  <c r="D42" i="34"/>
  <c r="G16" i="34"/>
  <c r="D41" i="34"/>
  <c r="I57" i="34"/>
  <c r="H19" i="34"/>
  <c r="H16" i="34"/>
  <c r="H17" i="34"/>
  <c r="E66" i="34" s="1"/>
  <c r="E68" i="34" l="1"/>
  <c r="E70" i="34" s="1"/>
  <c r="E72" i="34" s="1"/>
  <c r="D53" i="34"/>
  <c r="D52" i="34"/>
  <c r="D57" i="34"/>
  <c r="E74" i="34" l="1"/>
</calcChain>
</file>

<file path=xl/sharedStrings.xml><?xml version="1.0" encoding="utf-8"?>
<sst xmlns="http://schemas.openxmlformats.org/spreadsheetml/2006/main" count="145" uniqueCount="52">
  <si>
    <t>Bewertung</t>
  </si>
  <si>
    <t>Umsatz-Wachstum, %</t>
  </si>
  <si>
    <t>Unterbewertung</t>
  </si>
  <si>
    <t>Fairer Wert</t>
  </si>
  <si>
    <t>Umsatz</t>
  </si>
  <si>
    <t>Marktkapitalisierung, Mio.</t>
  </si>
  <si>
    <t>Verhältnis EBIT zu Konzerngewinn:</t>
  </si>
  <si>
    <t>EK Quote:</t>
  </si>
  <si>
    <t>Vereinfachter WACC:</t>
  </si>
  <si>
    <t>Schätzungen »</t>
  </si>
  <si>
    <t>Discounted Net-Profit Modell</t>
  </si>
  <si>
    <t>Anzahl Aktien gesamt, Mio.</t>
  </si>
  <si>
    <t>Abgezinster Gewinn:</t>
  </si>
  <si>
    <t xml:space="preserve">Kurs pro Aktie </t>
  </si>
  <si>
    <t>Überbewertung</t>
  </si>
  <si>
    <t>EBIT Marge, %</t>
  </si>
  <si>
    <t>EBIT</t>
  </si>
  <si>
    <t xml:space="preserve">Ausschüttungsquote </t>
  </si>
  <si>
    <t xml:space="preserve">Ausgeschüttete Gewinne </t>
  </si>
  <si>
    <t>Eigenkapitalzins</t>
  </si>
  <si>
    <t>EK-Zins</t>
  </si>
  <si>
    <t xml:space="preserve">Umsatzmultiple </t>
  </si>
  <si>
    <t>Nullzinsmarkterwartung:</t>
  </si>
  <si>
    <t>Abgezinster Gewinn in Mrd. USD:</t>
  </si>
  <si>
    <t>Eigenkapitalverzinsung</t>
  </si>
  <si>
    <t>Risikoloser Basiszins:</t>
  </si>
  <si>
    <t>rF</t>
  </si>
  <si>
    <t>Risikoprämie:</t>
  </si>
  <si>
    <t>Marktrendite:</t>
  </si>
  <si>
    <t>rM</t>
  </si>
  <si>
    <t>ß</t>
  </si>
  <si>
    <t xml:space="preserve">Eigenkapitalkosten: </t>
  </si>
  <si>
    <t>rE</t>
  </si>
  <si>
    <t xml:space="preserve">Alle Angaben in Mio. </t>
  </si>
  <si>
    <t>Keine Rundung</t>
  </si>
  <si>
    <t>Beta Faktor:</t>
  </si>
  <si>
    <t>Gewinn je Aktie</t>
  </si>
  <si>
    <t>Gewinn je Aktie multipliziert mit fiktivem KGV</t>
  </si>
  <si>
    <t>Anzahl der Aktien in Mio. diluted (geschätzt)</t>
  </si>
  <si>
    <t>Gewinn (abzgl. Steuern, Zinsen)</t>
  </si>
  <si>
    <t xml:space="preserve"> </t>
  </si>
  <si>
    <t>KGV Multiple in 2032</t>
  </si>
  <si>
    <t>Gesamtwert 2032</t>
  </si>
  <si>
    <t>Steigerung Gesamt bis 2032 in Prozent</t>
  </si>
  <si>
    <t>Renditeerwartung bis 2032 pro Jahr</t>
  </si>
  <si>
    <t>Gesamtwert 2033</t>
  </si>
  <si>
    <t>Steigerung Gesamt bis 2033 in Prozent</t>
  </si>
  <si>
    <t>Renditeerwartung bis 2033 pro Jahr</t>
  </si>
  <si>
    <t>KGV Multiple in 2033</t>
  </si>
  <si>
    <t>Quellensteuer Großbritannien (0 %)</t>
  </si>
  <si>
    <t>GBP</t>
  </si>
  <si>
    <t xml:space="preserve"> Annahmen für Watches of Switzerland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</si>
</sst>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0.0%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theme="0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8" fillId="2" borderId="0" xfId="0" applyFont="1" applyFill="1"/>
    <xf numFmtId="0" fontId="0" fillId="3" borderId="0" xfId="0" applyFill="1"/>
    <xf numFmtId="0" fontId="6" fillId="3" borderId="0" xfId="0" applyFont="1" applyFill="1" applyAlignment="1">
      <alignment vertical="center" wrapText="1"/>
    </xf>
    <xf numFmtId="0" fontId="10" fillId="2" borderId="0" xfId="0" applyFont="1" applyFill="1"/>
    <xf numFmtId="9" fontId="10" fillId="2" borderId="0" xfId="1" applyFont="1" applyFill="1"/>
    <xf numFmtId="0" fontId="0" fillId="4" borderId="0" xfId="0" applyFill="1"/>
    <xf numFmtId="0" fontId="6" fillId="4" borderId="0" xfId="0" applyFont="1" applyFill="1"/>
    <xf numFmtId="0" fontId="5" fillId="4" borderId="0" xfId="0" applyFont="1" applyFill="1"/>
    <xf numFmtId="0" fontId="6" fillId="5" borderId="0" xfId="0" applyFont="1" applyFill="1"/>
    <xf numFmtId="165" fontId="4" fillId="7" borderId="0" xfId="1" applyNumberFormat="1" applyFont="1" applyFill="1"/>
    <xf numFmtId="0" fontId="0" fillId="2" borderId="1" xfId="0" applyFill="1" applyBorder="1" applyAlignment="1">
      <alignment wrapText="1"/>
    </xf>
    <xf numFmtId="0" fontId="9" fillId="2" borderId="2" xfId="0" applyFont="1" applyFill="1" applyBorder="1"/>
    <xf numFmtId="9" fontId="0" fillId="2" borderId="3" xfId="1" applyFont="1" applyFill="1" applyBorder="1"/>
    <xf numFmtId="0" fontId="0" fillId="6" borderId="0" xfId="0" applyFill="1" applyAlignment="1">
      <alignment wrapText="1"/>
    </xf>
    <xf numFmtId="0" fontId="0" fillId="6" borderId="0" xfId="0" applyFill="1"/>
    <xf numFmtId="0" fontId="6" fillId="6" borderId="0" xfId="0" applyFont="1" applyFill="1" applyAlignment="1">
      <alignment horizontal="right"/>
    </xf>
    <xf numFmtId="0" fontId="8" fillId="6" borderId="0" xfId="0" applyFont="1" applyFill="1"/>
    <xf numFmtId="0" fontId="11" fillId="6" borderId="0" xfId="0" applyFont="1" applyFill="1"/>
    <xf numFmtId="4" fontId="6" fillId="6" borderId="0" xfId="0" applyNumberFormat="1" applyFont="1" applyFill="1"/>
    <xf numFmtId="0" fontId="6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10" fontId="0" fillId="2" borderId="0" xfId="0" applyNumberFormat="1" applyFill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2" fillId="2" borderId="0" xfId="0" applyFont="1" applyFill="1"/>
    <xf numFmtId="4" fontId="6" fillId="2" borderId="4" xfId="0" applyNumberFormat="1" applyFont="1" applyFill="1" applyBorder="1"/>
    <xf numFmtId="4" fontId="0" fillId="2" borderId="5" xfId="0" applyNumberFormat="1" applyFill="1" applyBorder="1"/>
    <xf numFmtId="3" fontId="0" fillId="2" borderId="5" xfId="0" applyNumberFormat="1" applyFill="1" applyBorder="1"/>
    <xf numFmtId="4" fontId="0" fillId="2" borderId="7" xfId="0" applyNumberFormat="1" applyFill="1" applyBorder="1"/>
    <xf numFmtId="4" fontId="0" fillId="2" borderId="0" xfId="0" applyNumberFormat="1" applyFill="1"/>
    <xf numFmtId="3" fontId="0" fillId="2" borderId="0" xfId="0" applyNumberFormat="1" applyFill="1"/>
    <xf numFmtId="165" fontId="4" fillId="2" borderId="0" xfId="1" applyNumberFormat="1" applyFont="1" applyFill="1" applyBorder="1"/>
    <xf numFmtId="3" fontId="6" fillId="2" borderId="0" xfId="0" applyNumberFormat="1" applyFont="1" applyFill="1"/>
    <xf numFmtId="165" fontId="6" fillId="2" borderId="0" xfId="1" applyNumberFormat="1" applyFont="1" applyFill="1" applyBorder="1"/>
    <xf numFmtId="9" fontId="0" fillId="2" borderId="0" xfId="1" applyFont="1" applyFill="1" applyBorder="1"/>
    <xf numFmtId="9" fontId="0" fillId="2" borderId="0" xfId="0" applyNumberFormat="1" applyFill="1"/>
    <xf numFmtId="9" fontId="6" fillId="2" borderId="0" xfId="0" applyNumberFormat="1" applyFont="1" applyFill="1"/>
    <xf numFmtId="10" fontId="6" fillId="2" borderId="10" xfId="0" applyNumberFormat="1" applyFont="1" applyFill="1" applyBorder="1"/>
    <xf numFmtId="0" fontId="6" fillId="8" borderId="0" xfId="0" applyFont="1" applyFill="1" applyAlignment="1">
      <alignment vertical="center" wrapText="1"/>
    </xf>
    <xf numFmtId="0" fontId="0" fillId="8" borderId="0" xfId="0" applyFill="1"/>
    <xf numFmtId="4" fontId="10" fillId="8" borderId="0" xfId="0" applyNumberFormat="1" applyFont="1" applyFill="1"/>
    <xf numFmtId="0" fontId="6" fillId="8" borderId="0" xfId="0" applyFont="1" applyFill="1"/>
    <xf numFmtId="1" fontId="4" fillId="8" borderId="0" xfId="1" applyNumberFormat="1" applyFont="1" applyFill="1"/>
    <xf numFmtId="10" fontId="6" fillId="8" borderId="0" xfId="1" applyNumberFormat="1" applyFont="1" applyFill="1"/>
    <xf numFmtId="0" fontId="0" fillId="2" borderId="1" xfId="0" applyFill="1" applyBorder="1"/>
    <xf numFmtId="0" fontId="10" fillId="2" borderId="2" xfId="0" applyFont="1" applyFill="1" applyBorder="1"/>
    <xf numFmtId="2" fontId="8" fillId="2" borderId="2" xfId="0" applyNumberFormat="1" applyFont="1" applyFill="1" applyBorder="1"/>
    <xf numFmtId="2" fontId="8" fillId="2" borderId="3" xfId="0" applyNumberFormat="1" applyFont="1" applyFill="1" applyBorder="1"/>
    <xf numFmtId="0" fontId="11" fillId="7" borderId="0" xfId="0" applyFont="1" applyFill="1" applyAlignment="1">
      <alignment horizontal="right" vertical="center"/>
    </xf>
    <xf numFmtId="4" fontId="0" fillId="8" borderId="0" xfId="0" applyNumberFormat="1" applyFill="1"/>
    <xf numFmtId="9" fontId="0" fillId="9" borderId="0" xfId="1" applyFont="1" applyFill="1"/>
    <xf numFmtId="9" fontId="6" fillId="8" borderId="0" xfId="1" applyFont="1" applyFill="1"/>
    <xf numFmtId="0" fontId="0" fillId="2" borderId="4" xfId="0" applyFill="1" applyBorder="1"/>
    <xf numFmtId="4" fontId="0" fillId="2" borderId="8" xfId="0" applyNumberFormat="1" applyFill="1" applyBorder="1"/>
    <xf numFmtId="3" fontId="7" fillId="2" borderId="8" xfId="0" quotePrefix="1" applyNumberFormat="1" applyFont="1" applyFill="1" applyBorder="1"/>
    <xf numFmtId="9" fontId="0" fillId="2" borderId="8" xfId="1" applyFont="1" applyFill="1" applyBorder="1"/>
    <xf numFmtId="0" fontId="0" fillId="10" borderId="9" xfId="0" applyFill="1" applyBorder="1"/>
    <xf numFmtId="0" fontId="0" fillId="10" borderId="10" xfId="0" applyFill="1" applyBorder="1"/>
    <xf numFmtId="10" fontId="6" fillId="2" borderId="0" xfId="1" applyNumberFormat="1" applyFont="1" applyFill="1"/>
    <xf numFmtId="1" fontId="4" fillId="2" borderId="0" xfId="1" applyNumberFormat="1" applyFont="1" applyFill="1"/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9" fontId="0" fillId="2" borderId="0" xfId="0" applyNumberFormat="1" applyFill="1" applyAlignment="1">
      <alignment horizontal="center"/>
    </xf>
    <xf numFmtId="9" fontId="0" fillId="2" borderId="0" xfId="1" applyFont="1" applyFill="1"/>
    <xf numFmtId="165" fontId="0" fillId="7" borderId="0" xfId="1" applyNumberFormat="1" applyFont="1" applyFill="1"/>
    <xf numFmtId="4" fontId="0" fillId="7" borderId="0" xfId="0" applyNumberFormat="1" applyFill="1"/>
    <xf numFmtId="10" fontId="0" fillId="8" borderId="0" xfId="0" applyNumberFormat="1" applyFill="1"/>
    <xf numFmtId="4" fontId="4" fillId="8" borderId="0" xfId="1" applyNumberFormat="1" applyFont="1" applyFill="1"/>
    <xf numFmtId="0" fontId="0" fillId="2" borderId="0" xfId="0" quotePrefix="1" applyFill="1"/>
    <xf numFmtId="0" fontId="6" fillId="2" borderId="7" xfId="0" applyFont="1" applyFill="1" applyBorder="1"/>
    <xf numFmtId="10" fontId="6" fillId="2" borderId="0" xfId="0" applyNumberFormat="1" applyFont="1" applyFill="1"/>
    <xf numFmtId="10" fontId="0" fillId="2" borderId="5" xfId="0" applyNumberFormat="1" applyFill="1" applyBorder="1" applyAlignment="1">
      <alignment horizontal="right"/>
    </xf>
    <xf numFmtId="0" fontId="0" fillId="2" borderId="0" xfId="0" applyFill="1" applyAlignment="1">
      <alignment horizontal="right"/>
    </xf>
    <xf numFmtId="10" fontId="0" fillId="2" borderId="0" xfId="1" applyNumberFormat="1" applyFont="1" applyFill="1" applyBorder="1" applyAlignment="1">
      <alignment horizontal="right"/>
    </xf>
    <xf numFmtId="10" fontId="0" fillId="2" borderId="0" xfId="0" applyNumberFormat="1" applyFill="1" applyAlignment="1">
      <alignment horizontal="right"/>
    </xf>
    <xf numFmtId="4" fontId="10" fillId="5" borderId="0" xfId="0" applyNumberFormat="1" applyFont="1" applyFill="1"/>
    <xf numFmtId="164" fontId="11" fillId="6" borderId="0" xfId="0" applyNumberFormat="1" applyFont="1" applyFill="1"/>
    <xf numFmtId="10" fontId="0" fillId="7" borderId="0" xfId="1" applyNumberFormat="1" applyFont="1" applyFill="1"/>
    <xf numFmtId="165" fontId="10" fillId="7" borderId="0" xfId="1" applyNumberFormat="1" applyFont="1" applyFill="1"/>
    <xf numFmtId="9" fontId="10" fillId="5" borderId="0" xfId="1" applyFont="1" applyFill="1"/>
    <xf numFmtId="2" fontId="0" fillId="8" borderId="0" xfId="0" applyNumberFormat="1" applyFill="1"/>
    <xf numFmtId="10" fontId="10" fillId="5" borderId="0" xfId="1" applyNumberFormat="1" applyFont="1" applyFill="1"/>
    <xf numFmtId="165" fontId="10" fillId="5" borderId="0" xfId="1" applyNumberFormat="1" applyFont="1" applyFill="1"/>
    <xf numFmtId="0" fontId="10" fillId="2" borderId="4" xfId="0" applyFont="1" applyFill="1" applyBorder="1"/>
    <xf numFmtId="0" fontId="10" fillId="2" borderId="5" xfId="0" applyFont="1" applyFill="1" applyBorder="1"/>
    <xf numFmtId="10" fontId="10" fillId="2" borderId="5" xfId="0" applyNumberFormat="1" applyFont="1" applyFill="1" applyBorder="1" applyAlignment="1">
      <alignment horizontal="right"/>
    </xf>
    <xf numFmtId="0" fontId="10" fillId="2" borderId="7" xfId="0" applyFont="1" applyFill="1" applyBorder="1"/>
    <xf numFmtId="0" fontId="10" fillId="2" borderId="0" xfId="0" applyFont="1" applyFill="1" applyAlignment="1">
      <alignment horizontal="right"/>
    </xf>
    <xf numFmtId="10" fontId="10" fillId="2" borderId="0" xfId="1" applyNumberFormat="1" applyFont="1" applyFill="1" applyBorder="1" applyAlignment="1">
      <alignment horizontal="right"/>
    </xf>
    <xf numFmtId="10" fontId="10" fillId="2" borderId="0" xfId="0" applyNumberFormat="1" applyFont="1" applyFill="1" applyAlignment="1">
      <alignment horizontal="right"/>
    </xf>
    <xf numFmtId="0" fontId="11" fillId="2" borderId="7" xfId="0" applyFont="1" applyFill="1" applyBorder="1"/>
    <xf numFmtId="0" fontId="11" fillId="2" borderId="0" xfId="0" applyFont="1" applyFill="1"/>
    <xf numFmtId="10" fontId="11" fillId="2" borderId="0" xfId="0" applyNumberFormat="1" applyFont="1" applyFill="1"/>
    <xf numFmtId="9" fontId="10" fillId="6" borderId="0" xfId="1" applyFont="1" applyFill="1"/>
    <xf numFmtId="10" fontId="0" fillId="2" borderId="0" xfId="1" applyNumberFormat="1" applyFont="1" applyFill="1"/>
    <xf numFmtId="10" fontId="0" fillId="10" borderId="10" xfId="1" applyNumberFormat="1" applyFont="1" applyFill="1" applyBorder="1"/>
    <xf numFmtId="10" fontId="0" fillId="2" borderId="7" xfId="0" applyNumberFormat="1" applyFill="1" applyBorder="1"/>
    <xf numFmtId="4" fontId="13" fillId="2" borderId="8" xfId="0" quotePrefix="1" applyNumberFormat="1" applyFont="1" applyFill="1" applyBorder="1"/>
    <xf numFmtId="2" fontId="10" fillId="5" borderId="0" xfId="0" applyNumberFormat="1" applyFont="1" applyFill="1"/>
    <xf numFmtId="2" fontId="0" fillId="7" borderId="0" xfId="0" applyNumberFormat="1" applyFill="1"/>
  </cellXfs>
  <cellStyles count="11">
    <cellStyle name="Prozent" xfId="1" builtinId="5"/>
    <cellStyle name="Prozent 2" xfId="2" xr:uid="{00000000-0005-0000-0000-000001000000}"/>
    <cellStyle name="Prozent 3" xfId="4" xr:uid="{00000000-0005-0000-0000-000002000000}"/>
    <cellStyle name="Prozent 3 2" xfId="8" xr:uid="{ACDD9188-69D6-4028-9709-96C6465716DF}"/>
    <cellStyle name="Prozent 4" xfId="6" xr:uid="{DE5E001C-AEE3-45AD-B913-D01465EAAE5D}"/>
    <cellStyle name="Prozent 4 2" xfId="10" xr:uid="{51C2CB77-11E2-4A8F-AF10-1CB4B8601286}"/>
    <cellStyle name="Standard" xfId="0" builtinId="0"/>
    <cellStyle name="Standard 2" xfId="3" xr:uid="{00000000-0005-0000-0000-000004000000}"/>
    <cellStyle name="Standard 2 2" xfId="7" xr:uid="{715999C6-8BDD-464F-A53F-2D0C0610C1C9}"/>
    <cellStyle name="Standard 3" xfId="5" xr:uid="{D21CDE20-7D2B-4947-8C50-96BDB9D63654}"/>
    <cellStyle name="Standard 3 2" xfId="9" xr:uid="{5011BA1F-B6E3-4681-B716-D0C9CC684563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00"/>
      <color rgb="FFFF7A5F"/>
      <color rgb="FFCC99FF"/>
      <color rgb="FFFFCC99"/>
      <color rgb="FFFFCC66"/>
      <color rgb="FFFFEB7D"/>
      <color rgb="FF009900"/>
      <color rgb="FFCCCCFF"/>
      <color rgb="FF9966FF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135466</xdr:colOff>
      <xdr:row>22</xdr:row>
      <xdr:rowOff>84666</xdr:rowOff>
    </xdr:from>
    <xdr:to>
      <xdr:col>12</xdr:col>
      <xdr:colOff>1231532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480E8E9-90E0-4C71-8FA2-90316083A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11866" y="4770966"/>
          <a:ext cx="3559866" cy="1411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29795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74A3B2B-061E-42EB-AB1A-BED6F37A5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88066" y="4656666"/>
          <a:ext cx="3596379" cy="1388950"/>
        </a:xfrm>
        <a:prstGeom prst="rect">
          <a:avLst/>
        </a:prstGeom>
      </xdr:spPr>
    </xdr:pic>
    <xdr:clientData/>
  </xdr:twoCellAnchor>
  <xdr:twoCellAnchor editAs="oneCell">
    <xdr:from>
      <xdr:col>10</xdr:col>
      <xdr:colOff>139700</xdr:colOff>
      <xdr:row>22</xdr:row>
      <xdr:rowOff>88900</xdr:rowOff>
    </xdr:from>
    <xdr:to>
      <xdr:col>13</xdr:col>
      <xdr:colOff>3866</xdr:colOff>
      <xdr:row>29</xdr:row>
      <xdr:rowOff>77675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CE8547F-B95B-474E-A4A1-FDD07F70F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16100" y="4775200"/>
          <a:ext cx="3559866" cy="1411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26620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ED6B0C2-47F7-4639-9157-E9F95B4B4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88066" y="4656666"/>
          <a:ext cx="3596379" cy="1388950"/>
        </a:xfrm>
        <a:prstGeom prst="rect">
          <a:avLst/>
        </a:prstGeom>
      </xdr:spPr>
    </xdr:pic>
    <xdr:clientData/>
  </xdr:twoCellAnchor>
  <xdr:twoCellAnchor editAs="oneCell">
    <xdr:from>
      <xdr:col>10</xdr:col>
      <xdr:colOff>139700</xdr:colOff>
      <xdr:row>22</xdr:row>
      <xdr:rowOff>88900</xdr:rowOff>
    </xdr:from>
    <xdr:to>
      <xdr:col>13</xdr:col>
      <xdr:colOff>3866</xdr:colOff>
      <xdr:row>29</xdr:row>
      <xdr:rowOff>77675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89C3DC4-4684-864C-856D-E38EB5973A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16100" y="4775200"/>
          <a:ext cx="3559866" cy="1411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 2013–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0EB64-3C98-49AD-AFA7-32CB9200B01E}">
  <dimension ref="A2:AB74"/>
  <sheetViews>
    <sheetView tabSelected="1" topLeftCell="A26" zoomScaleNormal="100" workbookViewId="0">
      <selection activeCell="C51" sqref="C51"/>
    </sheetView>
  </sheetViews>
  <sheetFormatPr baseColWidth="10" defaultColWidth="10.5" defaultRowHeight="16" x14ac:dyDescent="0.2"/>
  <cols>
    <col min="1" max="1" width="27" style="1" bestFit="1" customWidth="1"/>
    <col min="2" max="2" width="32.33203125" style="1" customWidth="1"/>
    <col min="3" max="17" width="16.1640625" style="1" customWidth="1"/>
    <col min="18" max="18" width="10.5" style="1" customWidth="1"/>
    <col min="19" max="16384" width="10.5" style="1"/>
  </cols>
  <sheetData>
    <row r="2" spans="1:28" ht="26" x14ac:dyDescent="0.3">
      <c r="B2" s="31" t="s">
        <v>10</v>
      </c>
    </row>
    <row r="4" spans="1:28" x14ac:dyDescent="0.2">
      <c r="B4" s="22" t="s">
        <v>51</v>
      </c>
    </row>
    <row r="6" spans="1:28" x14ac:dyDescent="0.2">
      <c r="B6" s="1" t="s">
        <v>33</v>
      </c>
    </row>
    <row r="9" spans="1:28" s="8" customFormat="1" x14ac:dyDescent="0.2">
      <c r="G9" s="9" t="s">
        <v>9</v>
      </c>
      <c r="H9" s="10"/>
      <c r="I9" s="10"/>
      <c r="J9" s="10"/>
      <c r="K9" s="10"/>
      <c r="L9" s="10"/>
      <c r="M9" s="10"/>
      <c r="N9" s="10"/>
      <c r="O9" s="10"/>
      <c r="P9" s="10"/>
      <c r="Q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">
      <c r="A10" s="4"/>
      <c r="B10" s="4"/>
      <c r="C10" s="11">
        <v>2020</v>
      </c>
      <c r="D10" s="11">
        <f>C10+1</f>
        <v>2021</v>
      </c>
      <c r="E10" s="11">
        <f>D10+1</f>
        <v>2022</v>
      </c>
      <c r="F10" s="11">
        <f>E10+1</f>
        <v>2023</v>
      </c>
      <c r="G10" s="55">
        <f>F10+1</f>
        <v>2024</v>
      </c>
      <c r="H10" s="55">
        <f t="shared" ref="H10:P10" si="0">G10+1</f>
        <v>2025</v>
      </c>
      <c r="I10" s="55">
        <f t="shared" si="0"/>
        <v>2026</v>
      </c>
      <c r="J10" s="55">
        <f t="shared" si="0"/>
        <v>2027</v>
      </c>
      <c r="K10" s="55">
        <f t="shared" si="0"/>
        <v>2028</v>
      </c>
      <c r="L10" s="55">
        <f t="shared" si="0"/>
        <v>2029</v>
      </c>
      <c r="M10" s="55">
        <f t="shared" si="0"/>
        <v>2030</v>
      </c>
      <c r="N10" s="55">
        <f t="shared" si="0"/>
        <v>2031</v>
      </c>
      <c r="O10" s="55">
        <f t="shared" si="0"/>
        <v>2032</v>
      </c>
      <c r="P10" s="55">
        <f t="shared" si="0"/>
        <v>2033</v>
      </c>
      <c r="Q10" s="55" t="str">
        <f>P10+1&amp;"ff."</f>
        <v>2034ff.</v>
      </c>
    </row>
    <row r="11" spans="1:28" x14ac:dyDescent="0.2">
      <c r="A11" s="5"/>
      <c r="B11" s="4" t="s">
        <v>4</v>
      </c>
      <c r="C11" s="105">
        <v>810.51199999999994</v>
      </c>
      <c r="D11" s="105">
        <v>905.077</v>
      </c>
      <c r="E11" s="105">
        <v>1237.9839999999999</v>
      </c>
      <c r="F11" s="105">
        <v>1542.7860000000001</v>
      </c>
      <c r="G11" s="106">
        <v>1665.02</v>
      </c>
      <c r="H11" s="106">
        <v>1861.7</v>
      </c>
      <c r="I11" s="106">
        <v>2054.91</v>
      </c>
      <c r="J11" s="72">
        <f>I11*(1+J12)</f>
        <v>2198.7536999999998</v>
      </c>
      <c r="K11" s="72">
        <f>J11*(1+K12)</f>
        <v>2330.6789220000001</v>
      </c>
      <c r="L11" s="72">
        <f t="shared" ref="L11:Q11" si="1">K11*(1+L12)</f>
        <v>2470.5196573200001</v>
      </c>
      <c r="M11" s="72">
        <f t="shared" si="1"/>
        <v>2594.0456401860001</v>
      </c>
      <c r="N11" s="72">
        <f t="shared" si="1"/>
        <v>2697.8074657934403</v>
      </c>
      <c r="O11" s="72">
        <f t="shared" si="1"/>
        <v>2805.7197644251778</v>
      </c>
      <c r="P11" s="72">
        <f t="shared" si="1"/>
        <v>2861.8341597136814</v>
      </c>
      <c r="Q11" s="72">
        <f t="shared" si="1"/>
        <v>2904.7616721093864</v>
      </c>
    </row>
    <row r="12" spans="1:28" x14ac:dyDescent="0.2">
      <c r="A12" s="5"/>
      <c r="B12" s="4" t="s">
        <v>1</v>
      </c>
      <c r="C12" s="86"/>
      <c r="D12" s="89">
        <f t="shared" ref="D12:I12" si="2">D11/C11-1</f>
        <v>0.11667316461693367</v>
      </c>
      <c r="E12" s="89">
        <f t="shared" si="2"/>
        <v>0.36782174334338391</v>
      </c>
      <c r="F12" s="89">
        <f t="shared" si="2"/>
        <v>0.24620835164267074</v>
      </c>
      <c r="G12" s="85">
        <f t="shared" si="2"/>
        <v>7.9229394096135053E-2</v>
      </c>
      <c r="H12" s="85">
        <f t="shared" si="2"/>
        <v>0.11812470721072432</v>
      </c>
      <c r="I12" s="85">
        <f t="shared" si="2"/>
        <v>0.10378149003598858</v>
      </c>
      <c r="J12" s="85">
        <v>7.0000000000000007E-2</v>
      </c>
      <c r="K12" s="71">
        <v>0.06</v>
      </c>
      <c r="L12" s="71">
        <v>0.06</v>
      </c>
      <c r="M12" s="71">
        <v>0.05</v>
      </c>
      <c r="N12" s="71">
        <v>0.04</v>
      </c>
      <c r="O12" s="71">
        <v>0.04</v>
      </c>
      <c r="P12" s="71">
        <v>0.02</v>
      </c>
      <c r="Q12" s="12">
        <v>1.4999999999999999E-2</v>
      </c>
    </row>
    <row r="13" spans="1:28" ht="16" customHeight="1" x14ac:dyDescent="0.2">
      <c r="A13" s="5"/>
      <c r="B13" s="4" t="s">
        <v>15</v>
      </c>
      <c r="C13" s="88">
        <f>C14/C11</f>
        <v>5.957468859190241E-2</v>
      </c>
      <c r="D13" s="88">
        <f t="shared" ref="D13:F13" si="3">D14/D11</f>
        <v>9.0438714054163344E-2</v>
      </c>
      <c r="E13" s="88">
        <f t="shared" si="3"/>
        <v>0.11478338976917311</v>
      </c>
      <c r="F13" s="88">
        <f t="shared" si="3"/>
        <v>0.11576459729346779</v>
      </c>
      <c r="G13" s="84">
        <f>G14/G11</f>
        <v>0.11190000000000001</v>
      </c>
      <c r="H13" s="84">
        <f t="shared" ref="H13:I13" si="4">H14/H11</f>
        <v>0.1137</v>
      </c>
      <c r="I13" s="84">
        <f t="shared" si="4"/>
        <v>0.11550000000000001</v>
      </c>
      <c r="J13" s="84">
        <v>0.09</v>
      </c>
      <c r="K13" s="84">
        <v>0.08</v>
      </c>
      <c r="L13" s="84">
        <v>7.0000000000000007E-2</v>
      </c>
      <c r="M13" s="84">
        <v>7.0000000000000007E-2</v>
      </c>
      <c r="N13" s="84">
        <v>7.0000000000000007E-2</v>
      </c>
      <c r="O13" s="84">
        <v>7.0000000000000007E-2</v>
      </c>
      <c r="P13" s="84">
        <v>7.0000000000000007E-2</v>
      </c>
      <c r="Q13" s="84">
        <v>0.06</v>
      </c>
    </row>
    <row r="14" spans="1:28" ht="17.25" customHeight="1" x14ac:dyDescent="0.2">
      <c r="A14" s="5"/>
      <c r="B14" s="4" t="s">
        <v>16</v>
      </c>
      <c r="C14" s="105">
        <v>48.286000000000001</v>
      </c>
      <c r="D14" s="105">
        <v>81.853999999999999</v>
      </c>
      <c r="E14" s="105">
        <v>142.1</v>
      </c>
      <c r="F14" s="105">
        <v>178.6</v>
      </c>
      <c r="G14" s="106">
        <v>186.31573800000001</v>
      </c>
      <c r="H14" s="106">
        <v>211.67528999999999</v>
      </c>
      <c r="I14" s="106">
        <v>237.342105</v>
      </c>
      <c r="J14" s="72">
        <f>J11*J13</f>
        <v>197.88783299999997</v>
      </c>
      <c r="K14" s="72">
        <f t="shared" ref="K14:Q14" si="5">K11*K13</f>
        <v>186.45431376000002</v>
      </c>
      <c r="L14" s="72">
        <f t="shared" si="5"/>
        <v>172.93637601240002</v>
      </c>
      <c r="M14" s="72">
        <f t="shared" si="5"/>
        <v>181.58319481302001</v>
      </c>
      <c r="N14" s="72">
        <f t="shared" si="5"/>
        <v>188.84652260554083</v>
      </c>
      <c r="O14" s="72">
        <f t="shared" si="5"/>
        <v>196.40038350976246</v>
      </c>
      <c r="P14" s="72">
        <f>P11*P13</f>
        <v>200.32839117995772</v>
      </c>
      <c r="Q14" s="72">
        <f t="shared" si="5"/>
        <v>174.28570032656319</v>
      </c>
    </row>
    <row r="15" spans="1:28" x14ac:dyDescent="0.2">
      <c r="A15" s="100">
        <v>0.22</v>
      </c>
      <c r="B15" s="4" t="s">
        <v>39</v>
      </c>
      <c r="C15" s="105">
        <v>0.50700000000000001</v>
      </c>
      <c r="D15" s="105">
        <v>50.631</v>
      </c>
      <c r="E15" s="105">
        <v>101</v>
      </c>
      <c r="F15" s="105">
        <v>121.8</v>
      </c>
      <c r="G15" s="106">
        <v>123.544484</v>
      </c>
      <c r="H15" s="106">
        <v>141.48920000000001</v>
      </c>
      <c r="I15" s="106">
        <v>160.89945299999997</v>
      </c>
      <c r="J15" s="72">
        <f>J14*(1-$A$15)</f>
        <v>154.35250973999999</v>
      </c>
      <c r="K15" s="72">
        <f>K14*(1-$A$15)</f>
        <v>145.43436473280002</v>
      </c>
      <c r="L15" s="72">
        <f t="shared" ref="L15:Q15" si="6">L14*(1-$A$15)</f>
        <v>134.89037328967203</v>
      </c>
      <c r="M15" s="72">
        <f t="shared" si="6"/>
        <v>141.63489195415562</v>
      </c>
      <c r="N15" s="72">
        <f t="shared" si="6"/>
        <v>147.30028763232184</v>
      </c>
      <c r="O15" s="72">
        <f t="shared" si="6"/>
        <v>153.19229913761473</v>
      </c>
      <c r="P15" s="72">
        <f>P14*(1-$A$15)</f>
        <v>156.25614512036702</v>
      </c>
      <c r="Q15" s="72">
        <f t="shared" si="6"/>
        <v>135.94284625471929</v>
      </c>
    </row>
    <row r="16" spans="1:28" ht="35" hidden="1" thickBot="1" x14ac:dyDescent="0.25">
      <c r="A16" s="13" t="s">
        <v>6</v>
      </c>
      <c r="B16" s="14"/>
      <c r="C16" s="15">
        <f t="shared" ref="C16:J16" si="7">C15/C14</f>
        <v>1.0499937870190117E-2</v>
      </c>
      <c r="D16" s="15">
        <f t="shared" si="7"/>
        <v>0.61855254477484301</v>
      </c>
      <c r="E16" s="15">
        <f t="shared" si="7"/>
        <v>0.71076706544686841</v>
      </c>
      <c r="F16" s="15">
        <f t="shared" si="7"/>
        <v>0.68197088465845468</v>
      </c>
      <c r="G16" s="15">
        <f t="shared" si="7"/>
        <v>0.66309204647006248</v>
      </c>
      <c r="H16" s="15">
        <f t="shared" si="7"/>
        <v>0.66842568161829385</v>
      </c>
      <c r="I16" s="15">
        <f t="shared" si="7"/>
        <v>0.67792207792207781</v>
      </c>
      <c r="J16" s="15">
        <f t="shared" si="7"/>
        <v>0.78</v>
      </c>
    </row>
    <row r="17" spans="1:18" ht="17" x14ac:dyDescent="0.2">
      <c r="A17" s="2" t="s">
        <v>36</v>
      </c>
      <c r="C17" s="82"/>
      <c r="D17" s="82"/>
      <c r="E17" s="82"/>
      <c r="F17" s="82"/>
      <c r="G17" s="72">
        <f>G15/G18</f>
        <v>0.51569199331918847</v>
      </c>
      <c r="H17" s="72">
        <f t="shared" ref="H17:P17" si="8">H15/H18</f>
        <v>0.59059575319556412</v>
      </c>
      <c r="I17" s="72">
        <f t="shared" si="8"/>
        <v>0.67161686993275282</v>
      </c>
      <c r="J17" s="72">
        <f t="shared" si="8"/>
        <v>0.64428901108721326</v>
      </c>
      <c r="K17" s="72">
        <f t="shared" si="8"/>
        <v>0.60706342377995226</v>
      </c>
      <c r="L17" s="72">
        <f t="shared" si="8"/>
        <v>0.56305132555590576</v>
      </c>
      <c r="M17" s="72">
        <f t="shared" si="8"/>
        <v>0.59120389183370092</v>
      </c>
      <c r="N17" s="72">
        <f t="shared" si="8"/>
        <v>0.61485204750704903</v>
      </c>
      <c r="O17" s="72">
        <f t="shared" si="8"/>
        <v>0.63944612940733103</v>
      </c>
      <c r="P17" s="72">
        <f t="shared" si="8"/>
        <v>0.6522350519954776</v>
      </c>
      <c r="Q17" s="72"/>
    </row>
    <row r="18" spans="1:18" ht="35" thickBot="1" x14ac:dyDescent="0.25">
      <c r="A18" s="2" t="s">
        <v>38</v>
      </c>
      <c r="C18" s="82"/>
      <c r="D18" s="82"/>
      <c r="E18" s="82"/>
      <c r="F18" s="82"/>
      <c r="G18" s="72">
        <f>C50</f>
        <v>239.57029700000001</v>
      </c>
      <c r="H18" s="72">
        <f>G18*1</f>
        <v>239.57029700000001</v>
      </c>
      <c r="I18" s="72">
        <f t="shared" ref="I18:P18" si="9">H18*1</f>
        <v>239.57029700000001</v>
      </c>
      <c r="J18" s="72">
        <f t="shared" si="9"/>
        <v>239.57029700000001</v>
      </c>
      <c r="K18" s="72">
        <f t="shared" si="9"/>
        <v>239.57029700000001</v>
      </c>
      <c r="L18" s="72">
        <f t="shared" si="9"/>
        <v>239.57029700000001</v>
      </c>
      <c r="M18" s="72">
        <f t="shared" si="9"/>
        <v>239.57029700000001</v>
      </c>
      <c r="N18" s="72">
        <f t="shared" si="9"/>
        <v>239.57029700000001</v>
      </c>
      <c r="O18" s="72">
        <f t="shared" si="9"/>
        <v>239.57029700000001</v>
      </c>
      <c r="P18" s="72">
        <f t="shared" si="9"/>
        <v>239.57029700000001</v>
      </c>
      <c r="Q18" s="72"/>
    </row>
    <row r="19" spans="1:18" ht="17" thickBot="1" x14ac:dyDescent="0.25">
      <c r="A19" s="2"/>
      <c r="E19" s="51" t="s">
        <v>12</v>
      </c>
      <c r="F19" s="52"/>
      <c r="G19" s="53">
        <f>G15/(1+$C$55)</f>
        <v>112.38979667955424</v>
      </c>
      <c r="H19" s="53">
        <f>H15/(1+$C$55)^2</f>
        <v>117.09284076242567</v>
      </c>
      <c r="I19" s="53">
        <f>I15/(1+$C$55)^3</f>
        <v>121.13374516739822</v>
      </c>
      <c r="J19" s="53">
        <f>J15/(1+$C$55)^4</f>
        <v>105.71285407941208</v>
      </c>
      <c r="K19" s="53">
        <f>K15/(1+$C$55)^5</f>
        <v>90.611781021748627</v>
      </c>
      <c r="L19" s="53">
        <f>L15/(1+$C$55)^6</f>
        <v>76.454334225764697</v>
      </c>
      <c r="M19" s="53">
        <f>M15/(1+$C$55)^7</f>
        <v>73.028929667548724</v>
      </c>
      <c r="N19" s="53">
        <f>N15/(1+$C$55)^8</f>
        <v>69.092642123493889</v>
      </c>
      <c r="O19" s="53">
        <f>O15/(1+$C$55)^9</f>
        <v>65.368521999939631</v>
      </c>
      <c r="P19" s="53">
        <f>P15/(1+$C$55)^10</f>
        <v>60.655803902604895</v>
      </c>
      <c r="Q19" s="54">
        <f>(Q15/(C55-Q12))/(1+C55)^10</f>
        <v>626.35666938001475</v>
      </c>
    </row>
    <row r="20" spans="1:18" x14ac:dyDescent="0.2">
      <c r="A20" s="2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6"/>
      <c r="P20" s="3"/>
      <c r="Q20" s="3"/>
      <c r="R20" s="3"/>
    </row>
    <row r="21" spans="1:18" x14ac:dyDescent="0.2">
      <c r="A21" s="2"/>
      <c r="J21" s="101"/>
      <c r="K21" s="101"/>
      <c r="L21" s="101"/>
      <c r="M21" s="101"/>
      <c r="N21" s="101"/>
      <c r="O21" s="101"/>
      <c r="P21" s="101"/>
      <c r="Q21" s="101"/>
      <c r="R21" s="3"/>
    </row>
    <row r="22" spans="1:18" ht="17" thickBot="1" x14ac:dyDescent="0.25">
      <c r="P22" s="3"/>
      <c r="Q22" s="3"/>
      <c r="R22" s="3"/>
    </row>
    <row r="23" spans="1:18" x14ac:dyDescent="0.2">
      <c r="A23" s="32" t="s">
        <v>24</v>
      </c>
      <c r="B23" s="33"/>
      <c r="C23" s="33"/>
      <c r="D23" s="34"/>
      <c r="E23" s="23"/>
      <c r="F23" s="33"/>
      <c r="G23" s="90" t="s">
        <v>25</v>
      </c>
      <c r="H23" s="91"/>
      <c r="I23" s="92">
        <v>3.7499999999999999E-2</v>
      </c>
      <c r="J23" s="24" t="s">
        <v>26</v>
      </c>
    </row>
    <row r="24" spans="1:18" x14ac:dyDescent="0.2">
      <c r="A24" s="35"/>
      <c r="B24" s="36"/>
      <c r="C24" s="36"/>
      <c r="D24" s="37"/>
      <c r="E24" s="36"/>
      <c r="F24" s="36"/>
      <c r="G24" s="93"/>
      <c r="H24" s="6"/>
      <c r="I24" s="94"/>
      <c r="J24" s="26"/>
    </row>
    <row r="25" spans="1:18" x14ac:dyDescent="0.2">
      <c r="A25" s="35"/>
      <c r="B25" s="36"/>
      <c r="C25" s="36"/>
      <c r="D25" s="38"/>
      <c r="F25" s="36"/>
      <c r="G25" s="93" t="s">
        <v>27</v>
      </c>
      <c r="H25" s="6"/>
      <c r="I25" s="95">
        <f>(I27-I23)*I29</f>
        <v>6.1750000000000013E-2</v>
      </c>
      <c r="J25" s="26"/>
    </row>
    <row r="26" spans="1:18" x14ac:dyDescent="0.2">
      <c r="A26" s="35"/>
      <c r="B26" s="36"/>
      <c r="C26" s="36"/>
      <c r="D26" s="38"/>
      <c r="F26" s="36"/>
      <c r="G26" s="93"/>
      <c r="H26" s="6"/>
      <c r="I26" s="94"/>
      <c r="J26" s="26"/>
    </row>
    <row r="27" spans="1:18" x14ac:dyDescent="0.2">
      <c r="A27" s="35"/>
      <c r="B27" s="36"/>
      <c r="C27" s="36"/>
      <c r="D27" s="38"/>
      <c r="F27" s="36"/>
      <c r="G27" s="93" t="s">
        <v>28</v>
      </c>
      <c r="H27" s="6"/>
      <c r="I27" s="96">
        <v>7.0000000000000007E-2</v>
      </c>
      <c r="J27" s="26" t="s">
        <v>29</v>
      </c>
    </row>
    <row r="28" spans="1:18" x14ac:dyDescent="0.2">
      <c r="A28" s="35"/>
      <c r="B28" s="36"/>
      <c r="C28" s="36"/>
      <c r="D28" s="39"/>
      <c r="F28" s="36"/>
      <c r="G28" s="93"/>
      <c r="H28" s="6"/>
      <c r="I28" s="94"/>
      <c r="J28" s="26"/>
    </row>
    <row r="29" spans="1:18" x14ac:dyDescent="0.2">
      <c r="A29" s="35"/>
      <c r="B29" s="36"/>
      <c r="C29" s="36"/>
      <c r="D29" s="39"/>
      <c r="F29" s="36"/>
      <c r="G29" s="93" t="s">
        <v>35</v>
      </c>
      <c r="H29" s="6"/>
      <c r="I29" s="79">
        <v>1.9</v>
      </c>
      <c r="J29" s="26" t="s">
        <v>30</v>
      </c>
    </row>
    <row r="30" spans="1:18" x14ac:dyDescent="0.2">
      <c r="A30" s="35"/>
      <c r="B30" s="36"/>
      <c r="C30" s="36"/>
      <c r="D30" s="40"/>
      <c r="F30" s="36"/>
      <c r="G30" s="93"/>
      <c r="H30" s="6"/>
      <c r="I30" s="94"/>
      <c r="J30" s="26"/>
    </row>
    <row r="31" spans="1:18" x14ac:dyDescent="0.2">
      <c r="A31" s="35"/>
      <c r="B31" s="36"/>
      <c r="C31" s="36"/>
      <c r="D31" s="37"/>
      <c r="F31" s="36"/>
      <c r="G31" s="93" t="s">
        <v>31</v>
      </c>
      <c r="H31" s="6"/>
      <c r="I31" s="96">
        <f>I23+(I27-I23)*I29</f>
        <v>9.9250000000000005E-2</v>
      </c>
      <c r="J31" s="26" t="s">
        <v>32</v>
      </c>
    </row>
    <row r="32" spans="1:18" x14ac:dyDescent="0.2">
      <c r="A32" s="25"/>
      <c r="C32" s="41"/>
      <c r="E32" s="36"/>
      <c r="F32" s="36"/>
      <c r="G32" s="93"/>
      <c r="H32" s="6"/>
      <c r="I32" s="6"/>
      <c r="J32" s="26"/>
    </row>
    <row r="33" spans="1:10" x14ac:dyDescent="0.2">
      <c r="A33" s="25"/>
      <c r="G33" s="97" t="s">
        <v>34</v>
      </c>
      <c r="H33" s="98"/>
      <c r="I33" s="99">
        <f>I31</f>
        <v>9.9250000000000005E-2</v>
      </c>
      <c r="J33" s="26"/>
    </row>
    <row r="34" spans="1:10" x14ac:dyDescent="0.2">
      <c r="A34" s="35" t="s">
        <v>7</v>
      </c>
      <c r="B34" s="36"/>
      <c r="C34" s="42"/>
      <c r="D34" s="27"/>
      <c r="G34" s="93"/>
      <c r="H34" s="6"/>
      <c r="I34" s="6"/>
      <c r="J34" s="26"/>
    </row>
    <row r="35" spans="1:10" ht="15.75" hidden="1" customHeight="1" x14ac:dyDescent="0.2">
      <c r="A35" s="25"/>
      <c r="G35" s="25"/>
      <c r="J35" s="26"/>
    </row>
    <row r="36" spans="1:10" ht="15.75" hidden="1" customHeight="1" x14ac:dyDescent="0.2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2">
      <c r="A37" s="25"/>
      <c r="G37" s="25"/>
      <c r="J37" s="26"/>
    </row>
    <row r="38" spans="1:10" ht="15.75" hidden="1" customHeight="1" x14ac:dyDescent="0.2">
      <c r="A38" s="25"/>
      <c r="G38" s="25"/>
      <c r="J38" s="26"/>
    </row>
    <row r="39" spans="1:10" ht="15.75" hidden="1" customHeight="1" x14ac:dyDescent="0.2">
      <c r="A39" s="25"/>
      <c r="G39" s="25"/>
      <c r="J39" s="26"/>
    </row>
    <row r="40" spans="1:10" hidden="1" x14ac:dyDescent="0.2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2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2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2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2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2">
      <c r="A45" s="25"/>
      <c r="G45" s="25"/>
      <c r="J45" s="26"/>
    </row>
    <row r="46" spans="1:10" ht="17" thickBot="1" x14ac:dyDescent="0.25">
      <c r="A46" s="28"/>
      <c r="B46" s="29" t="s">
        <v>20</v>
      </c>
      <c r="C46" s="29"/>
      <c r="D46" s="44">
        <f>I33</f>
        <v>9.9250000000000005E-2</v>
      </c>
      <c r="E46" s="29"/>
      <c r="F46" s="29"/>
      <c r="G46" s="28"/>
      <c r="H46" s="29"/>
      <c r="I46" s="29"/>
      <c r="J46" s="30"/>
    </row>
    <row r="48" spans="1:10" x14ac:dyDescent="0.2">
      <c r="A48" s="16"/>
      <c r="B48" s="17"/>
      <c r="C48" s="83">
        <f ca="1">TODAY()</f>
        <v>45177</v>
      </c>
      <c r="D48" s="18" t="s">
        <v>3</v>
      </c>
      <c r="E48" s="19"/>
      <c r="F48" s="20"/>
      <c r="G48" s="21"/>
      <c r="H48" s="21"/>
      <c r="I48" s="21"/>
    </row>
    <row r="49" spans="1:17" ht="17" x14ac:dyDescent="0.2">
      <c r="A49" s="45" t="s">
        <v>0</v>
      </c>
      <c r="B49" s="46" t="s">
        <v>5</v>
      </c>
      <c r="C49" s="56">
        <f>C50*C51</f>
        <v>1447.0045938800001</v>
      </c>
      <c r="D49" s="47">
        <f>SUM(G19:Q19)</f>
        <v>1517.8979190099053</v>
      </c>
      <c r="E49" s="46" t="s">
        <v>50</v>
      </c>
    </row>
    <row r="50" spans="1:17" x14ac:dyDescent="0.2">
      <c r="A50" s="45"/>
      <c r="B50" s="46" t="s">
        <v>11</v>
      </c>
      <c r="C50" s="56">
        <v>239.57029700000001</v>
      </c>
      <c r="D50" s="56">
        <f>C50</f>
        <v>239.57029700000001</v>
      </c>
      <c r="E50" s="46"/>
    </row>
    <row r="51" spans="1:17" x14ac:dyDescent="0.2">
      <c r="A51" s="45"/>
      <c r="B51" s="46" t="s">
        <v>13</v>
      </c>
      <c r="C51" s="87">
        <v>6.04</v>
      </c>
      <c r="D51" s="56">
        <f>D49/(D50)</f>
        <v>6.3359186761366546</v>
      </c>
      <c r="E51" s="46" t="s">
        <v>50</v>
      </c>
    </row>
    <row r="52" spans="1:17" x14ac:dyDescent="0.2">
      <c r="A52" s="45"/>
      <c r="B52" s="46" t="s">
        <v>2</v>
      </c>
      <c r="C52" s="46"/>
      <c r="D52" s="57">
        <f>IF(C51/D51-1&gt;0,0,C51/D51-1)*-1</f>
        <v>4.6704935978927664E-2</v>
      </c>
      <c r="E52" s="46"/>
    </row>
    <row r="53" spans="1:17" x14ac:dyDescent="0.2">
      <c r="A53" s="45"/>
      <c r="B53" s="46" t="s">
        <v>14</v>
      </c>
      <c r="C53" s="46"/>
      <c r="D53" s="58">
        <f>IF(C51/D51-1&lt;0,0,C51/D51-1)</f>
        <v>0</v>
      </c>
      <c r="E53" s="46"/>
    </row>
    <row r="54" spans="1:17" x14ac:dyDescent="0.2">
      <c r="A54" s="46"/>
      <c r="B54" s="46"/>
      <c r="C54" s="46"/>
      <c r="D54" s="48"/>
      <c r="E54" s="48"/>
    </row>
    <row r="55" spans="1:17" x14ac:dyDescent="0.2">
      <c r="A55" s="48" t="s">
        <v>19</v>
      </c>
      <c r="B55" s="46"/>
      <c r="C55" s="50">
        <f>D46</f>
        <v>9.9250000000000005E-2</v>
      </c>
      <c r="D55" s="49"/>
      <c r="E55" s="46"/>
      <c r="J55" s="70"/>
    </row>
    <row r="56" spans="1:17" x14ac:dyDescent="0.2">
      <c r="A56" s="48"/>
      <c r="B56" s="46"/>
      <c r="C56" s="50"/>
      <c r="D56" s="49"/>
      <c r="E56" s="46"/>
    </row>
    <row r="57" spans="1:17" hidden="1" x14ac:dyDescent="0.2">
      <c r="A57" s="48" t="s">
        <v>22</v>
      </c>
      <c r="B57" s="73">
        <v>0.108</v>
      </c>
      <c r="C57" s="50"/>
      <c r="D57" s="74">
        <f>SUM(H57:Q57)*1000</f>
        <v>1326418.5572741169</v>
      </c>
      <c r="E57" s="46"/>
      <c r="F57" s="1" t="s">
        <v>23</v>
      </c>
      <c r="H57" s="1">
        <f>G15/(1+$B$57)</f>
        <v>111.50224187725631</v>
      </c>
      <c r="I57" s="1">
        <f>H15/(1+$B$57)^2</f>
        <v>115.25075264893324</v>
      </c>
      <c r="J57" s="1">
        <f>I15/(1+$B$57)^3</f>
        <v>118.28652857449954</v>
      </c>
      <c r="K57" s="1">
        <f>J15/(1+$B$57)^4</f>
        <v>102.41289757695061</v>
      </c>
      <c r="L57" s="1">
        <f>K15/(1+$B$57)^5</f>
        <v>87.089989114775491</v>
      </c>
      <c r="M57" s="1">
        <f>L15/(1+$B$57)^6</f>
        <v>72.902495400680749</v>
      </c>
      <c r="N57" s="1">
        <f>M15/(1+$B$57)^7</f>
        <v>69.086299793063873</v>
      </c>
      <c r="O57" s="1">
        <f>N15/(1+$B$57)^8</f>
        <v>64.846346376161009</v>
      </c>
      <c r="P57" s="1">
        <f>O15/(1+$B$57)^9</f>
        <v>60.86660670686593</v>
      </c>
      <c r="Q57" s="1">
        <f>(Q15/(B57-Q12))/(1+B57)^10</f>
        <v>524.17439920493007</v>
      </c>
    </row>
    <row r="58" spans="1:17" ht="17" thickBot="1" x14ac:dyDescent="0.25">
      <c r="A58" s="22"/>
      <c r="C58" s="65"/>
      <c r="D58" s="66"/>
    </row>
    <row r="59" spans="1:17" x14ac:dyDescent="0.2">
      <c r="A59" s="59" t="s">
        <v>48</v>
      </c>
      <c r="B59" s="23"/>
      <c r="C59" s="67">
        <v>11</v>
      </c>
      <c r="D59" s="23"/>
      <c r="E59" s="24"/>
    </row>
    <row r="60" spans="1:17" x14ac:dyDescent="0.2">
      <c r="A60" s="25" t="s">
        <v>21</v>
      </c>
      <c r="C60" s="68"/>
      <c r="E60" s="26"/>
    </row>
    <row r="61" spans="1:17" x14ac:dyDescent="0.2">
      <c r="A61" s="25"/>
      <c r="C61" s="68"/>
      <c r="E61" s="26"/>
    </row>
    <row r="62" spans="1:17" x14ac:dyDescent="0.2">
      <c r="A62" s="25" t="s">
        <v>37</v>
      </c>
      <c r="C62" s="68"/>
      <c r="E62" s="60">
        <f>P17*C59</f>
        <v>7.1745855719502538</v>
      </c>
    </row>
    <row r="63" spans="1:17" x14ac:dyDescent="0.2">
      <c r="A63" s="25"/>
      <c r="C63" s="68"/>
      <c r="E63" s="26"/>
    </row>
    <row r="64" spans="1:17" x14ac:dyDescent="0.2">
      <c r="A64" s="25" t="s">
        <v>17</v>
      </c>
      <c r="C64" s="69">
        <v>0</v>
      </c>
      <c r="E64" s="26"/>
    </row>
    <row r="65" spans="1:5" x14ac:dyDescent="0.2">
      <c r="A65" s="25"/>
      <c r="E65" s="26"/>
    </row>
    <row r="66" spans="1:5" x14ac:dyDescent="0.2">
      <c r="A66" s="25" t="s">
        <v>18</v>
      </c>
      <c r="E66" s="60">
        <f>SUM(G17:Q17)*C64</f>
        <v>0</v>
      </c>
    </row>
    <row r="67" spans="1:5" x14ac:dyDescent="0.2">
      <c r="A67" s="25"/>
      <c r="E67" s="61"/>
    </row>
    <row r="68" spans="1:5" x14ac:dyDescent="0.2">
      <c r="A68" s="103" t="s">
        <v>49</v>
      </c>
      <c r="E68" s="104">
        <f>(E66*0.25)*-1</f>
        <v>0</v>
      </c>
    </row>
    <row r="69" spans="1:5" x14ac:dyDescent="0.2">
      <c r="A69" s="25"/>
      <c r="C69" s="41"/>
      <c r="D69" s="41"/>
      <c r="E69" s="62"/>
    </row>
    <row r="70" spans="1:5" x14ac:dyDescent="0.2">
      <c r="A70" s="25" t="s">
        <v>45</v>
      </c>
      <c r="E70" s="60">
        <f>SUM(E62:E68)</f>
        <v>7.1745855719502538</v>
      </c>
    </row>
    <row r="71" spans="1:5" x14ac:dyDescent="0.2">
      <c r="A71" s="25"/>
      <c r="E71" s="60"/>
    </row>
    <row r="72" spans="1:5" x14ac:dyDescent="0.2">
      <c r="A72" s="25" t="s">
        <v>46</v>
      </c>
      <c r="E72" s="62">
        <f>E70/C51-1</f>
        <v>0.18784529336924738</v>
      </c>
    </row>
    <row r="73" spans="1:5" x14ac:dyDescent="0.2">
      <c r="A73" s="25"/>
      <c r="E73" s="26"/>
    </row>
    <row r="74" spans="1:5" ht="17" thickBot="1" x14ac:dyDescent="0.25">
      <c r="A74" s="63" t="s">
        <v>47</v>
      </c>
      <c r="B74" s="64"/>
      <c r="C74" s="64"/>
      <c r="D74" s="64"/>
      <c r="E74" s="102">
        <f>(E70/C51)^(1/10)-1</f>
        <v>1.7363115234371174E-2</v>
      </c>
    </row>
  </sheetData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conditionalFormatting sqref="G6:J8">
    <cfRule type="top10" dxfId="11" priority="5" percent="1" rank="10"/>
  </conditionalFormatting>
  <conditionalFormatting sqref="K9">
    <cfRule type="top10" dxfId="10" priority="4" percent="1" rank="10"/>
  </conditionalFormatting>
  <conditionalFormatting sqref="L2:L5">
    <cfRule type="top10" dxfId="9" priority="3" percent="1" rank="10"/>
  </conditionalFormatting>
  <conditionalFormatting sqref="L6:L8">
    <cfRule type="top10" dxfId="8" priority="6" percent="1" rank="10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CB34D-A856-4E94-9389-3AD72615DA53}">
  <dimension ref="A2:AB74"/>
  <sheetViews>
    <sheetView topLeftCell="A33" zoomScaleNormal="100" workbookViewId="0">
      <selection activeCell="C51" sqref="C51"/>
    </sheetView>
  </sheetViews>
  <sheetFormatPr baseColWidth="10" defaultColWidth="10.5" defaultRowHeight="16" x14ac:dyDescent="0.2"/>
  <cols>
    <col min="1" max="1" width="27" style="1" bestFit="1" customWidth="1"/>
    <col min="2" max="2" width="32.33203125" style="1" customWidth="1"/>
    <col min="3" max="17" width="16.1640625" style="1" customWidth="1"/>
    <col min="18" max="18" width="10.5" style="1" customWidth="1"/>
    <col min="19" max="16384" width="10.5" style="1"/>
  </cols>
  <sheetData>
    <row r="2" spans="1:28" ht="26" x14ac:dyDescent="0.3">
      <c r="B2" s="31" t="s">
        <v>10</v>
      </c>
    </row>
    <row r="4" spans="1:28" x14ac:dyDescent="0.2">
      <c r="B4" s="22" t="s">
        <v>51</v>
      </c>
    </row>
    <row r="6" spans="1:28" x14ac:dyDescent="0.2">
      <c r="B6" s="1" t="s">
        <v>33</v>
      </c>
    </row>
    <row r="9" spans="1:28" s="8" customFormat="1" x14ac:dyDescent="0.2">
      <c r="G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">
      <c r="A10" s="4"/>
      <c r="B10" s="4"/>
      <c r="C10" s="11">
        <v>2020</v>
      </c>
      <c r="D10" s="11">
        <f>C10+1</f>
        <v>2021</v>
      </c>
      <c r="E10" s="11">
        <f t="shared" ref="E10:F10" si="0">D10+1</f>
        <v>2022</v>
      </c>
      <c r="F10" s="11">
        <f t="shared" si="0"/>
        <v>2023</v>
      </c>
      <c r="G10" s="55">
        <f>F10+1</f>
        <v>2024</v>
      </c>
      <c r="H10" s="55">
        <f t="shared" ref="H10:P10" si="1">G10+1</f>
        <v>2025</v>
      </c>
      <c r="I10" s="55">
        <f t="shared" si="1"/>
        <v>2026</v>
      </c>
      <c r="J10" s="55">
        <f t="shared" si="1"/>
        <v>2027</v>
      </c>
      <c r="K10" s="55">
        <f t="shared" si="1"/>
        <v>2028</v>
      </c>
      <c r="L10" s="55">
        <f t="shared" si="1"/>
        <v>2029</v>
      </c>
      <c r="M10" s="55">
        <f t="shared" si="1"/>
        <v>2030</v>
      </c>
      <c r="N10" s="55">
        <f t="shared" si="1"/>
        <v>2031</v>
      </c>
      <c r="O10" s="55">
        <f t="shared" si="1"/>
        <v>2032</v>
      </c>
      <c r="P10" s="55">
        <f t="shared" si="1"/>
        <v>2033</v>
      </c>
      <c r="Q10" s="55" t="str">
        <f>P10+1&amp;"ff."</f>
        <v>2034ff.</v>
      </c>
    </row>
    <row r="11" spans="1:28" x14ac:dyDescent="0.2">
      <c r="A11" s="5"/>
      <c r="B11" s="4" t="s">
        <v>4</v>
      </c>
      <c r="C11" s="105">
        <v>810.51199999999994</v>
      </c>
      <c r="D11" s="105">
        <v>905.077</v>
      </c>
      <c r="E11" s="105">
        <v>1237.9839999999999</v>
      </c>
      <c r="F11" s="105">
        <v>1542.7860000000001</v>
      </c>
      <c r="G11" s="106">
        <v>1665.02</v>
      </c>
      <c r="H11" s="106">
        <v>1861.7</v>
      </c>
      <c r="I11" s="106">
        <v>2054.91</v>
      </c>
      <c r="J11" s="72">
        <f>I11*(1+J12)</f>
        <v>2239.8519000000001</v>
      </c>
      <c r="K11" s="72">
        <f>J11*(1+K12)</f>
        <v>2441.4385710000001</v>
      </c>
      <c r="L11" s="72">
        <f t="shared" ref="L11:Q11" si="2">K11*(1+L12)</f>
        <v>2636.7536566800004</v>
      </c>
      <c r="M11" s="72">
        <f t="shared" si="2"/>
        <v>2847.6939492144006</v>
      </c>
      <c r="N11" s="72">
        <f t="shared" si="2"/>
        <v>3047.0325256594087</v>
      </c>
      <c r="O11" s="72">
        <f t="shared" si="2"/>
        <v>3260.3248024555674</v>
      </c>
      <c r="P11" s="72">
        <f t="shared" si="2"/>
        <v>3455.9442906029017</v>
      </c>
      <c r="Q11" s="72">
        <f t="shared" si="2"/>
        <v>3525.0631764149598</v>
      </c>
    </row>
    <row r="12" spans="1:28" x14ac:dyDescent="0.2">
      <c r="A12" s="5"/>
      <c r="B12" s="4" t="s">
        <v>1</v>
      </c>
      <c r="C12" s="89"/>
      <c r="D12" s="89">
        <f t="shared" ref="D12:H12" si="3">D11/C11-1</f>
        <v>0.11667316461693367</v>
      </c>
      <c r="E12" s="89">
        <f t="shared" si="3"/>
        <v>0.36782174334338391</v>
      </c>
      <c r="F12" s="89">
        <f t="shared" si="3"/>
        <v>0.24620835164267074</v>
      </c>
      <c r="G12" s="85">
        <f t="shared" si="3"/>
        <v>7.9229394096135053E-2</v>
      </c>
      <c r="H12" s="85">
        <f t="shared" si="3"/>
        <v>0.11812470721072432</v>
      </c>
      <c r="I12" s="85">
        <f t="shared" ref="I12" si="4">I11/H11-1</f>
        <v>0.10378149003598858</v>
      </c>
      <c r="J12" s="85">
        <v>0.09</v>
      </c>
      <c r="K12" s="85">
        <v>0.09</v>
      </c>
      <c r="L12" s="71">
        <v>0.08</v>
      </c>
      <c r="M12" s="71">
        <v>0.08</v>
      </c>
      <c r="N12" s="71">
        <v>7.0000000000000007E-2</v>
      </c>
      <c r="O12" s="71">
        <v>7.0000000000000007E-2</v>
      </c>
      <c r="P12" s="71">
        <v>0.06</v>
      </c>
      <c r="Q12" s="12">
        <v>0.02</v>
      </c>
    </row>
    <row r="13" spans="1:28" ht="16" customHeight="1" x14ac:dyDescent="0.2">
      <c r="A13" s="5"/>
      <c r="B13" s="4" t="s">
        <v>15</v>
      </c>
      <c r="C13" s="88">
        <f>C14/C11</f>
        <v>5.957468859190241E-2</v>
      </c>
      <c r="D13" s="88">
        <f t="shared" ref="D13:F13" si="5">D14/D11</f>
        <v>9.0438714054163344E-2</v>
      </c>
      <c r="E13" s="88">
        <f t="shared" si="5"/>
        <v>0.11478338976917311</v>
      </c>
      <c r="F13" s="88">
        <f t="shared" si="5"/>
        <v>0.11576459729346779</v>
      </c>
      <c r="G13" s="84">
        <f>G14/G11</f>
        <v>0.11190000000000001</v>
      </c>
      <c r="H13" s="84">
        <f t="shared" ref="H13" si="6">H14/H11</f>
        <v>0.1137</v>
      </c>
      <c r="I13" s="84">
        <f>I14/I11</f>
        <v>0.11550000000000001</v>
      </c>
      <c r="J13" s="84">
        <v>0.115</v>
      </c>
      <c r="K13" s="84">
        <v>0.115</v>
      </c>
      <c r="L13" s="84">
        <v>0.11</v>
      </c>
      <c r="M13" s="84">
        <v>0.11</v>
      </c>
      <c r="N13" s="84">
        <v>0.11</v>
      </c>
      <c r="O13" s="84">
        <v>0.11</v>
      </c>
      <c r="P13" s="84">
        <v>0.11</v>
      </c>
      <c r="Q13" s="84">
        <v>0.11</v>
      </c>
    </row>
    <row r="14" spans="1:28" ht="17.25" customHeight="1" x14ac:dyDescent="0.2">
      <c r="A14" s="5"/>
      <c r="B14" s="4" t="s">
        <v>16</v>
      </c>
      <c r="C14" s="105">
        <v>48.286000000000001</v>
      </c>
      <c r="D14" s="105">
        <v>81.853999999999999</v>
      </c>
      <c r="E14" s="105">
        <v>142.1</v>
      </c>
      <c r="F14" s="105">
        <v>178.6</v>
      </c>
      <c r="G14" s="106">
        <v>186.31573800000001</v>
      </c>
      <c r="H14" s="106">
        <v>211.67528999999999</v>
      </c>
      <c r="I14" s="106">
        <v>237.342105</v>
      </c>
      <c r="J14" s="72">
        <f t="shared" ref="J14" si="7">J11*J13</f>
        <v>257.58296850000005</v>
      </c>
      <c r="K14" s="72">
        <f t="shared" ref="K14:Q14" si="8">K11*K13</f>
        <v>280.76543566500004</v>
      </c>
      <c r="L14" s="72">
        <f t="shared" si="8"/>
        <v>290.04290223480007</v>
      </c>
      <c r="M14" s="72">
        <f t="shared" si="8"/>
        <v>313.24633441358407</v>
      </c>
      <c r="N14" s="72">
        <f t="shared" si="8"/>
        <v>335.17357782253498</v>
      </c>
      <c r="O14" s="72">
        <f>O11*O13</f>
        <v>358.63572827011239</v>
      </c>
      <c r="P14" s="72">
        <f t="shared" si="8"/>
        <v>380.15387196631917</v>
      </c>
      <c r="Q14" s="72">
        <f t="shared" si="8"/>
        <v>387.75694940564557</v>
      </c>
    </row>
    <row r="15" spans="1:28" x14ac:dyDescent="0.2">
      <c r="A15" s="100">
        <v>0.2</v>
      </c>
      <c r="B15" s="4" t="s">
        <v>39</v>
      </c>
      <c r="C15" s="105">
        <v>0.50700000000000001</v>
      </c>
      <c r="D15" s="105">
        <v>50.631</v>
      </c>
      <c r="E15" s="105">
        <v>101</v>
      </c>
      <c r="F15" s="105">
        <v>121.8</v>
      </c>
      <c r="G15" s="106">
        <v>123.544484</v>
      </c>
      <c r="H15" s="106">
        <v>141.48920000000001</v>
      </c>
      <c r="I15" s="106">
        <v>160.89945299999997</v>
      </c>
      <c r="J15" s="72">
        <f>J14*(1-$A$15)</f>
        <v>206.06637480000006</v>
      </c>
      <c r="K15" s="72">
        <f>K14*(1-$A$15)</f>
        <v>224.61234853200006</v>
      </c>
      <c r="L15" s="72">
        <f t="shared" ref="L15:Q15" si="9">L14*(1-$A$15)</f>
        <v>232.03432178784007</v>
      </c>
      <c r="M15" s="72">
        <f t="shared" si="9"/>
        <v>250.59706753086726</v>
      </c>
      <c r="N15" s="72">
        <f t="shared" si="9"/>
        <v>268.13886225802798</v>
      </c>
      <c r="O15" s="72">
        <f>O14*(1-$A$15)</f>
        <v>286.90858261608992</v>
      </c>
      <c r="P15" s="72">
        <f t="shared" si="9"/>
        <v>304.12309757305536</v>
      </c>
      <c r="Q15" s="72">
        <f t="shared" si="9"/>
        <v>310.2055595245165</v>
      </c>
    </row>
    <row r="16" spans="1:28" ht="35" hidden="1" thickBot="1" x14ac:dyDescent="0.25">
      <c r="A16" s="13" t="s">
        <v>6</v>
      </c>
      <c r="B16" s="14"/>
      <c r="C16" s="15">
        <f t="shared" ref="C16:J16" si="10">C15/C14</f>
        <v>1.0499937870190117E-2</v>
      </c>
      <c r="D16" s="15">
        <f t="shared" si="10"/>
        <v>0.61855254477484301</v>
      </c>
      <c r="E16" s="15">
        <f t="shared" si="10"/>
        <v>0.71076706544686841</v>
      </c>
      <c r="F16" s="15">
        <f t="shared" si="10"/>
        <v>0.68197088465845468</v>
      </c>
      <c r="G16" s="15">
        <f t="shared" si="10"/>
        <v>0.66309204647006248</v>
      </c>
      <c r="H16" s="15">
        <f t="shared" si="10"/>
        <v>0.66842568161829385</v>
      </c>
      <c r="I16" s="15">
        <f t="shared" si="10"/>
        <v>0.67792207792207781</v>
      </c>
      <c r="J16" s="15">
        <f t="shared" si="10"/>
        <v>0.8</v>
      </c>
    </row>
    <row r="17" spans="1:18" ht="17" x14ac:dyDescent="0.2">
      <c r="A17" s="2" t="s">
        <v>36</v>
      </c>
      <c r="C17" s="82"/>
      <c r="D17" s="82"/>
      <c r="E17" s="82"/>
      <c r="F17" s="82"/>
      <c r="G17" s="72">
        <f>G15/G18</f>
        <v>0.51569199331918847</v>
      </c>
      <c r="H17" s="72">
        <f>H15/H18</f>
        <v>0.59059575319556412</v>
      </c>
      <c r="I17" s="72">
        <f t="shared" ref="I17:O17" si="11">I15/I18</f>
        <v>0.67161686993275282</v>
      </c>
      <c r="J17" s="72">
        <f>J15/J18</f>
        <v>0.86014993252690275</v>
      </c>
      <c r="K17" s="72">
        <f t="shared" si="11"/>
        <v>0.937563426454324</v>
      </c>
      <c r="L17" s="72">
        <f t="shared" si="11"/>
        <v>0.96854378315455381</v>
      </c>
      <c r="M17" s="72">
        <f t="shared" si="11"/>
        <v>1.0460272858069182</v>
      </c>
      <c r="N17" s="72">
        <f t="shared" si="11"/>
        <v>1.1192491958134023</v>
      </c>
      <c r="O17" s="72">
        <f t="shared" si="11"/>
        <v>1.1975966395203406</v>
      </c>
      <c r="P17" s="72">
        <f>P15/P18</f>
        <v>1.269452437891561</v>
      </c>
      <c r="Q17" s="72"/>
    </row>
    <row r="18" spans="1:18" ht="35" thickBot="1" x14ac:dyDescent="0.25">
      <c r="A18" s="2" t="s">
        <v>38</v>
      </c>
      <c r="C18" s="82"/>
      <c r="D18" s="82"/>
      <c r="E18" s="82"/>
      <c r="F18" s="82"/>
      <c r="G18" s="72">
        <f>C50</f>
        <v>239.57029700000001</v>
      </c>
      <c r="H18" s="72">
        <f>G18*1</f>
        <v>239.57029700000001</v>
      </c>
      <c r="I18" s="72">
        <f t="shared" ref="I18:P18" si="12">H18*1</f>
        <v>239.57029700000001</v>
      </c>
      <c r="J18" s="72">
        <f t="shared" si="12"/>
        <v>239.57029700000001</v>
      </c>
      <c r="K18" s="72">
        <f t="shared" si="12"/>
        <v>239.57029700000001</v>
      </c>
      <c r="L18" s="72">
        <f t="shared" si="12"/>
        <v>239.57029700000001</v>
      </c>
      <c r="M18" s="72">
        <f t="shared" si="12"/>
        <v>239.57029700000001</v>
      </c>
      <c r="N18" s="72">
        <f t="shared" si="12"/>
        <v>239.57029700000001</v>
      </c>
      <c r="O18" s="72">
        <f t="shared" si="12"/>
        <v>239.57029700000001</v>
      </c>
      <c r="P18" s="72">
        <f t="shared" si="12"/>
        <v>239.57029700000001</v>
      </c>
      <c r="Q18" s="72"/>
    </row>
    <row r="19" spans="1:18" ht="17" thickBot="1" x14ac:dyDescent="0.25">
      <c r="A19" s="2"/>
      <c r="E19" s="51" t="s">
        <v>12</v>
      </c>
      <c r="F19" s="52"/>
      <c r="G19" s="53">
        <f>G15/(1+$C$55)</f>
        <v>112.38979667955424</v>
      </c>
      <c r="H19" s="53">
        <f>H15/(1+$C$55)^2</f>
        <v>117.09284076242567</v>
      </c>
      <c r="I19" s="53">
        <f>I15/(1+$C$55)^3</f>
        <v>121.13374516739822</v>
      </c>
      <c r="J19" s="53">
        <f>J15/(1+$C$55)^4</f>
        <v>141.13061489314174</v>
      </c>
      <c r="K19" s="53">
        <f>K15/(1+$C$55)^5</f>
        <v>139.94302500206911</v>
      </c>
      <c r="L19" s="53">
        <f>L15/(1+$C$55)^6</f>
        <v>131.51442283965002</v>
      </c>
      <c r="M19" s="53">
        <f>M15/(1+$C$55)^7</f>
        <v>129.21135016313124</v>
      </c>
      <c r="N19" s="53">
        <f>N15/(1+$C$55)^8</f>
        <v>125.77315867596128</v>
      </c>
      <c r="O19" s="53">
        <f>O15/(1+$C$55)^9</f>
        <v>122.42645420357384</v>
      </c>
      <c r="P19" s="53">
        <f>P15/(1+$C$55)^10</f>
        <v>118.05507523837915</v>
      </c>
      <c r="Q19" s="54">
        <f>(Q15/(C55-Q12))/(1+C55)^10</f>
        <v>1519.4470251501166</v>
      </c>
    </row>
    <row r="20" spans="1:18" x14ac:dyDescent="0.2">
      <c r="A20" s="2"/>
      <c r="C20" s="75"/>
      <c r="D20" s="42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">
      <c r="A21" s="2"/>
      <c r="J21" s="101"/>
      <c r="K21" s="101"/>
      <c r="L21" s="101"/>
      <c r="M21" s="101"/>
      <c r="N21" s="101"/>
      <c r="O21" s="101"/>
      <c r="P21" s="101"/>
      <c r="Q21" s="101"/>
      <c r="R21" s="3"/>
    </row>
    <row r="22" spans="1:18" ht="17" thickBot="1" x14ac:dyDescent="0.25">
      <c r="P22" s="3"/>
      <c r="Q22" s="3"/>
      <c r="R22" s="3"/>
    </row>
    <row r="23" spans="1:18" x14ac:dyDescent="0.2">
      <c r="A23" s="32" t="s">
        <v>24</v>
      </c>
      <c r="B23" s="33"/>
      <c r="C23" s="33"/>
      <c r="D23" s="34"/>
      <c r="E23" s="23"/>
      <c r="F23" s="33"/>
      <c r="G23" s="59" t="s">
        <v>25</v>
      </c>
      <c r="H23" s="23"/>
      <c r="I23" s="78">
        <v>3.7499999999999999E-2</v>
      </c>
      <c r="J23" s="24" t="s">
        <v>26</v>
      </c>
    </row>
    <row r="24" spans="1:18" x14ac:dyDescent="0.2">
      <c r="A24" s="35"/>
      <c r="B24" s="36"/>
      <c r="C24" s="36"/>
      <c r="D24" s="37"/>
      <c r="E24" s="36"/>
      <c r="F24" s="36"/>
      <c r="G24" s="25"/>
      <c r="I24" s="79"/>
      <c r="J24" s="26"/>
    </row>
    <row r="25" spans="1:18" x14ac:dyDescent="0.2">
      <c r="A25" s="35"/>
      <c r="B25" s="36"/>
      <c r="C25" s="36"/>
      <c r="D25" s="38"/>
      <c r="F25" s="36"/>
      <c r="G25" s="25" t="s">
        <v>27</v>
      </c>
      <c r="I25" s="80">
        <f>(I27-I23)*I29</f>
        <v>6.1750000000000013E-2</v>
      </c>
      <c r="J25" s="26"/>
    </row>
    <row r="26" spans="1:18" x14ac:dyDescent="0.2">
      <c r="A26" s="35"/>
      <c r="B26" s="36"/>
      <c r="C26" s="36"/>
      <c r="D26" s="38"/>
      <c r="F26" s="36"/>
      <c r="G26" s="25"/>
      <c r="I26" s="79"/>
      <c r="J26" s="26"/>
    </row>
    <row r="27" spans="1:18" x14ac:dyDescent="0.2">
      <c r="A27" s="35"/>
      <c r="B27" s="36"/>
      <c r="C27" s="36"/>
      <c r="D27" s="38"/>
      <c r="F27" s="36"/>
      <c r="G27" s="25" t="s">
        <v>28</v>
      </c>
      <c r="I27" s="81">
        <v>7.0000000000000007E-2</v>
      </c>
      <c r="J27" s="26" t="s">
        <v>29</v>
      </c>
    </row>
    <row r="28" spans="1:18" x14ac:dyDescent="0.2">
      <c r="A28" s="35"/>
      <c r="B28" s="36"/>
      <c r="C28" s="36"/>
      <c r="D28" s="39"/>
      <c r="F28" s="36"/>
      <c r="G28" s="25"/>
      <c r="I28" s="79"/>
      <c r="J28" s="26"/>
    </row>
    <row r="29" spans="1:18" x14ac:dyDescent="0.2">
      <c r="A29" s="35"/>
      <c r="B29" s="36"/>
      <c r="C29" s="36"/>
      <c r="D29" s="39"/>
      <c r="F29" s="36"/>
      <c r="G29" s="25" t="s">
        <v>35</v>
      </c>
      <c r="I29" s="79">
        <v>1.9</v>
      </c>
      <c r="J29" s="26" t="s">
        <v>30</v>
      </c>
    </row>
    <row r="30" spans="1:18" x14ac:dyDescent="0.2">
      <c r="A30" s="35"/>
      <c r="B30" s="36"/>
      <c r="C30" s="36"/>
      <c r="D30" s="40"/>
      <c r="F30" s="36"/>
      <c r="G30" s="25"/>
      <c r="I30" s="79"/>
      <c r="J30" s="26"/>
    </row>
    <row r="31" spans="1:18" x14ac:dyDescent="0.2">
      <c r="A31" s="35"/>
      <c r="B31" s="36"/>
      <c r="C31" s="36"/>
      <c r="D31" s="37"/>
      <c r="F31" s="36"/>
      <c r="G31" s="25" t="s">
        <v>31</v>
      </c>
      <c r="I31" s="81">
        <f>I23+(I27-I23)*I29</f>
        <v>9.9250000000000005E-2</v>
      </c>
      <c r="J31" s="26" t="s">
        <v>32</v>
      </c>
    </row>
    <row r="32" spans="1:18" x14ac:dyDescent="0.2">
      <c r="A32" s="25"/>
      <c r="C32" s="41"/>
      <c r="E32" s="36"/>
      <c r="F32" s="36"/>
      <c r="G32" s="25"/>
      <c r="J32" s="26"/>
    </row>
    <row r="33" spans="1:10" x14ac:dyDescent="0.2">
      <c r="A33" s="25"/>
      <c r="G33" s="76" t="s">
        <v>34</v>
      </c>
      <c r="H33" s="22"/>
      <c r="I33" s="77">
        <f>I31</f>
        <v>9.9250000000000005E-2</v>
      </c>
      <c r="J33" s="26"/>
    </row>
    <row r="34" spans="1:10" x14ac:dyDescent="0.2">
      <c r="A34" s="35" t="s">
        <v>7</v>
      </c>
      <c r="B34" s="36"/>
      <c r="C34" s="42"/>
      <c r="D34" s="27"/>
      <c r="G34" s="25"/>
      <c r="J34" s="26"/>
    </row>
    <row r="35" spans="1:10" ht="15.75" hidden="1" customHeight="1" x14ac:dyDescent="0.2">
      <c r="A35" s="25"/>
      <c r="G35" s="25"/>
      <c r="J35" s="26"/>
    </row>
    <row r="36" spans="1:10" ht="15.75" hidden="1" customHeight="1" x14ac:dyDescent="0.2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2">
      <c r="A37" s="25"/>
      <c r="G37" s="25"/>
      <c r="J37" s="26"/>
    </row>
    <row r="38" spans="1:10" ht="15.75" hidden="1" customHeight="1" x14ac:dyDescent="0.2">
      <c r="A38" s="25"/>
      <c r="G38" s="25"/>
      <c r="J38" s="26"/>
    </row>
    <row r="39" spans="1:10" ht="15.75" hidden="1" customHeight="1" x14ac:dyDescent="0.2">
      <c r="A39" s="25"/>
      <c r="G39" s="25"/>
      <c r="J39" s="26"/>
    </row>
    <row r="40" spans="1:10" hidden="1" x14ac:dyDescent="0.2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2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2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2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2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2">
      <c r="A45" s="25"/>
      <c r="G45" s="25"/>
      <c r="J45" s="26"/>
    </row>
    <row r="46" spans="1:10" ht="17" thickBot="1" x14ac:dyDescent="0.25">
      <c r="A46" s="28"/>
      <c r="B46" s="29" t="s">
        <v>20</v>
      </c>
      <c r="C46" s="29"/>
      <c r="D46" s="44">
        <f>I33</f>
        <v>9.9250000000000005E-2</v>
      </c>
      <c r="E46" s="29"/>
      <c r="F46" s="29"/>
      <c r="G46" s="28"/>
      <c r="H46" s="29"/>
      <c r="I46" s="29"/>
      <c r="J46" s="30"/>
    </row>
    <row r="48" spans="1:10" x14ac:dyDescent="0.2">
      <c r="A48" s="16"/>
      <c r="B48" s="17"/>
      <c r="C48" s="83">
        <f ca="1">TODAY()</f>
        <v>45177</v>
      </c>
      <c r="D48" s="18" t="s">
        <v>3</v>
      </c>
      <c r="E48" s="19"/>
      <c r="F48" s="20"/>
      <c r="G48" s="21"/>
      <c r="H48" s="21"/>
      <c r="I48" s="21"/>
    </row>
    <row r="49" spans="1:17" ht="17" x14ac:dyDescent="0.2">
      <c r="A49" s="45" t="s">
        <v>0</v>
      </c>
      <c r="B49" s="46" t="s">
        <v>5</v>
      </c>
      <c r="C49" s="56">
        <f>C50*C51</f>
        <v>1447.0045938800001</v>
      </c>
      <c r="D49" s="47">
        <f>SUM(G19:Q19)</f>
        <v>2778.1175087754009</v>
      </c>
      <c r="E49" s="46" t="s">
        <v>50</v>
      </c>
    </row>
    <row r="50" spans="1:17" x14ac:dyDescent="0.2">
      <c r="A50" s="45"/>
      <c r="B50" s="46" t="s">
        <v>11</v>
      </c>
      <c r="C50" s="56">
        <f>239.570297</f>
        <v>239.57029700000001</v>
      </c>
      <c r="D50" s="56">
        <f>C50</f>
        <v>239.57029700000001</v>
      </c>
      <c r="E50" s="46"/>
    </row>
    <row r="51" spans="1:17" x14ac:dyDescent="0.2">
      <c r="A51" s="45"/>
      <c r="B51" s="46" t="s">
        <v>13</v>
      </c>
      <c r="C51" s="87">
        <v>6.04</v>
      </c>
      <c r="D51" s="56">
        <f>D49/(D50)</f>
        <v>11.596251887500898</v>
      </c>
      <c r="E51" s="46" t="s">
        <v>50</v>
      </c>
    </row>
    <row r="52" spans="1:17" x14ac:dyDescent="0.2">
      <c r="A52" s="45"/>
      <c r="B52" s="46" t="s">
        <v>2</v>
      </c>
      <c r="C52" s="46"/>
      <c r="D52" s="57">
        <f>IF(C51/D51-1&gt;0,0,C51/D51-1)*-1</f>
        <v>0.47914204877610012</v>
      </c>
      <c r="E52" s="46"/>
    </row>
    <row r="53" spans="1:17" x14ac:dyDescent="0.2">
      <c r="A53" s="45"/>
      <c r="B53" s="46" t="s">
        <v>14</v>
      </c>
      <c r="C53" s="46"/>
      <c r="D53" s="58">
        <f>IF(C51/D51-1&lt;0,0,C51/D51-1)</f>
        <v>0</v>
      </c>
      <c r="E53" s="46"/>
    </row>
    <row r="54" spans="1:17" x14ac:dyDescent="0.2">
      <c r="A54" s="46"/>
      <c r="B54" s="46"/>
      <c r="C54" s="46"/>
      <c r="D54" s="48"/>
      <c r="E54" s="48"/>
    </row>
    <row r="55" spans="1:17" x14ac:dyDescent="0.2">
      <c r="A55" s="48" t="s">
        <v>19</v>
      </c>
      <c r="B55" s="46"/>
      <c r="C55" s="50">
        <f>D46</f>
        <v>9.9250000000000005E-2</v>
      </c>
      <c r="D55" s="49"/>
      <c r="E55" s="46"/>
      <c r="J55" s="70"/>
    </row>
    <row r="56" spans="1:17" x14ac:dyDescent="0.2">
      <c r="A56" s="48"/>
      <c r="B56" s="46"/>
      <c r="C56" s="50"/>
      <c r="D56" s="49"/>
      <c r="E56" s="46"/>
    </row>
    <row r="57" spans="1:17" hidden="1" x14ac:dyDescent="0.2">
      <c r="A57" s="48" t="s">
        <v>22</v>
      </c>
      <c r="B57" s="73">
        <v>0.108</v>
      </c>
      <c r="C57" s="50"/>
      <c r="D57" s="74">
        <f>SUM(H57:Q57)*1000</f>
        <v>2360011.7577416599</v>
      </c>
      <c r="E57" s="46"/>
      <c r="F57" s="1" t="s">
        <v>23</v>
      </c>
      <c r="H57" s="1">
        <f>G15/(1+$B$57)</f>
        <v>111.50224187725631</v>
      </c>
      <c r="I57" s="1">
        <f>H15/(1+$B$57)^2</f>
        <v>115.25075264893324</v>
      </c>
      <c r="J57" s="1">
        <f>I15/(1+$B$57)^3</f>
        <v>118.28652857449954</v>
      </c>
      <c r="K57" s="1">
        <f>J15/(1+$B$57)^4</f>
        <v>136.72504951163046</v>
      </c>
      <c r="L57" s="1">
        <f>K15/(1+$B$57)^5</f>
        <v>134.50388444736208</v>
      </c>
      <c r="M57" s="1">
        <f>L15/(1+$B$57)^6</f>
        <v>125.40465760749187</v>
      </c>
      <c r="N57" s="1">
        <f>M15/(1+$B$57)^7</f>
        <v>122.23558683762744</v>
      </c>
      <c r="O57" s="1">
        <f>N15/(1+$B$57)^8</f>
        <v>118.04339162117448</v>
      </c>
      <c r="P57" s="1">
        <f>O15/(1+$B$57)^9</f>
        <v>113.99497205293922</v>
      </c>
      <c r="Q57" s="1">
        <f>(Q15/(B57-Q12))/(1+B57)^10</f>
        <v>1264.0646925627452</v>
      </c>
    </row>
    <row r="58" spans="1:17" ht="17" thickBot="1" x14ac:dyDescent="0.25">
      <c r="A58" s="22"/>
      <c r="C58" s="65"/>
      <c r="D58" s="66"/>
    </row>
    <row r="59" spans="1:17" x14ac:dyDescent="0.2">
      <c r="A59" s="59" t="s">
        <v>48</v>
      </c>
      <c r="B59" s="23"/>
      <c r="C59" s="67">
        <v>13</v>
      </c>
      <c r="D59" s="23"/>
      <c r="E59" s="24"/>
    </row>
    <row r="60" spans="1:17" x14ac:dyDescent="0.2">
      <c r="A60" s="25" t="s">
        <v>21</v>
      </c>
      <c r="C60" s="68" t="s">
        <v>40</v>
      </c>
      <c r="E60" s="26"/>
    </row>
    <row r="61" spans="1:17" x14ac:dyDescent="0.2">
      <c r="A61" s="25"/>
      <c r="C61" s="68"/>
      <c r="E61" s="26"/>
    </row>
    <row r="62" spans="1:17" x14ac:dyDescent="0.2">
      <c r="A62" s="25" t="s">
        <v>37</v>
      </c>
      <c r="C62" s="68"/>
      <c r="E62" s="60">
        <f>P17*C59</f>
        <v>16.502881692590293</v>
      </c>
    </row>
    <row r="63" spans="1:17" x14ac:dyDescent="0.2">
      <c r="A63" s="25"/>
      <c r="C63" s="68"/>
      <c r="E63" s="26"/>
    </row>
    <row r="64" spans="1:17" x14ac:dyDescent="0.2">
      <c r="A64" s="25" t="s">
        <v>17</v>
      </c>
      <c r="C64" s="69">
        <v>0</v>
      </c>
      <c r="E64" s="26"/>
    </row>
    <row r="65" spans="1:5" x14ac:dyDescent="0.2">
      <c r="A65" s="25"/>
      <c r="E65" s="26"/>
    </row>
    <row r="66" spans="1:5" x14ac:dyDescent="0.2">
      <c r="A66" s="25" t="s">
        <v>18</v>
      </c>
      <c r="E66" s="60">
        <f>SUM(G17:Q17)*C64</f>
        <v>0</v>
      </c>
    </row>
    <row r="67" spans="1:5" x14ac:dyDescent="0.2">
      <c r="A67" s="25"/>
      <c r="E67" s="61"/>
    </row>
    <row r="68" spans="1:5" x14ac:dyDescent="0.2">
      <c r="A68" s="103" t="s">
        <v>49</v>
      </c>
      <c r="E68" s="104">
        <f>(E66*0.25)*-1</f>
        <v>0</v>
      </c>
    </row>
    <row r="69" spans="1:5" x14ac:dyDescent="0.2">
      <c r="A69" s="25"/>
      <c r="C69" s="41"/>
      <c r="D69" s="41"/>
      <c r="E69" s="62"/>
    </row>
    <row r="70" spans="1:5" x14ac:dyDescent="0.2">
      <c r="A70" s="25" t="s">
        <v>45</v>
      </c>
      <c r="E70" s="60">
        <f>SUM(E62:E68)</f>
        <v>16.502881692590293</v>
      </c>
    </row>
    <row r="71" spans="1:5" x14ac:dyDescent="0.2">
      <c r="A71" s="25"/>
      <c r="E71" s="60"/>
    </row>
    <row r="72" spans="1:5" x14ac:dyDescent="0.2">
      <c r="A72" s="25" t="s">
        <v>46</v>
      </c>
      <c r="E72" s="62">
        <f>E70/C51-1</f>
        <v>1.7322651808924325</v>
      </c>
    </row>
    <row r="73" spans="1:5" x14ac:dyDescent="0.2">
      <c r="A73" s="25"/>
      <c r="E73" s="26"/>
    </row>
    <row r="74" spans="1:5" ht="17" thickBot="1" x14ac:dyDescent="0.25">
      <c r="A74" s="63" t="s">
        <v>47</v>
      </c>
      <c r="B74" s="64"/>
      <c r="C74" s="64"/>
      <c r="D74" s="64"/>
      <c r="E74" s="102">
        <f>(E70/C51)^(1/10)-1</f>
        <v>0.10573812697176632</v>
      </c>
    </row>
  </sheetData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conditionalFormatting sqref="G6:J8">
    <cfRule type="top10" dxfId="7" priority="5" percent="1" rank="10"/>
  </conditionalFormatting>
  <conditionalFormatting sqref="L2:L5">
    <cfRule type="top10" dxfId="6" priority="3" percent="1" rank="10"/>
  </conditionalFormatting>
  <conditionalFormatting sqref="L6:L8">
    <cfRule type="top10" dxfId="5" priority="6" percent="1" rank="10"/>
  </conditionalFormatting>
  <conditionalFormatting sqref="L9">
    <cfRule type="top10" dxfId="4" priority="4" percent="1" rank="10"/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52E19-683E-48EC-9C64-69D5A2053526}">
  <dimension ref="A2:AB74"/>
  <sheetViews>
    <sheetView zoomScaleNormal="100" workbookViewId="0">
      <selection activeCell="F53" sqref="F53"/>
    </sheetView>
  </sheetViews>
  <sheetFormatPr baseColWidth="10" defaultColWidth="10.5" defaultRowHeight="16" x14ac:dyDescent="0.2"/>
  <cols>
    <col min="1" max="1" width="27" style="1" bestFit="1" customWidth="1"/>
    <col min="2" max="2" width="32.33203125" style="1" customWidth="1"/>
    <col min="3" max="17" width="16.1640625" style="1" customWidth="1"/>
    <col min="18" max="18" width="10.5" style="1" customWidth="1"/>
    <col min="19" max="16384" width="10.5" style="1"/>
  </cols>
  <sheetData>
    <row r="2" spans="1:28" ht="26" x14ac:dyDescent="0.3">
      <c r="B2" s="31" t="s">
        <v>10</v>
      </c>
    </row>
    <row r="4" spans="1:28" x14ac:dyDescent="0.2">
      <c r="B4" s="22" t="s">
        <v>51</v>
      </c>
    </row>
    <row r="6" spans="1:28" x14ac:dyDescent="0.2">
      <c r="B6" s="1" t="s">
        <v>33</v>
      </c>
    </row>
    <row r="9" spans="1:28" s="8" customFormat="1" x14ac:dyDescent="0.2">
      <c r="G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">
      <c r="A10" s="4"/>
      <c r="B10" s="4"/>
      <c r="C10" s="11">
        <v>2020</v>
      </c>
      <c r="D10" s="11">
        <f>C10+1</f>
        <v>2021</v>
      </c>
      <c r="E10" s="11">
        <f t="shared" ref="E10:F10" si="0">D10+1</f>
        <v>2022</v>
      </c>
      <c r="F10" s="11">
        <f t="shared" si="0"/>
        <v>2023</v>
      </c>
      <c r="G10" s="55">
        <f>F10+1</f>
        <v>2024</v>
      </c>
      <c r="H10" s="55">
        <f t="shared" ref="H10:P10" si="1">G10+1</f>
        <v>2025</v>
      </c>
      <c r="I10" s="55">
        <f t="shared" si="1"/>
        <v>2026</v>
      </c>
      <c r="J10" s="55">
        <f t="shared" si="1"/>
        <v>2027</v>
      </c>
      <c r="K10" s="55">
        <f t="shared" si="1"/>
        <v>2028</v>
      </c>
      <c r="L10" s="55">
        <f t="shared" si="1"/>
        <v>2029</v>
      </c>
      <c r="M10" s="55">
        <f t="shared" si="1"/>
        <v>2030</v>
      </c>
      <c r="N10" s="55">
        <f t="shared" si="1"/>
        <v>2031</v>
      </c>
      <c r="O10" s="55">
        <f t="shared" si="1"/>
        <v>2032</v>
      </c>
      <c r="P10" s="55">
        <f t="shared" si="1"/>
        <v>2033</v>
      </c>
      <c r="Q10" s="55" t="str">
        <f>P10+1&amp;"ff."</f>
        <v>2034ff.</v>
      </c>
    </row>
    <row r="11" spans="1:28" x14ac:dyDescent="0.2">
      <c r="A11" s="5"/>
      <c r="B11" s="4" t="s">
        <v>4</v>
      </c>
      <c r="C11" s="105">
        <v>810.51199999999994</v>
      </c>
      <c r="D11" s="105">
        <v>905.077</v>
      </c>
      <c r="E11" s="105">
        <v>1237.9839999999999</v>
      </c>
      <c r="F11" s="105">
        <v>1542.7860000000001</v>
      </c>
      <c r="G11" s="72">
        <f>F11*(1+G12)</f>
        <v>1558.2138600000001</v>
      </c>
      <c r="H11" s="72">
        <f t="shared" ref="H11:J11" si="2">G11*(1+H12)</f>
        <v>1573.7959986000001</v>
      </c>
      <c r="I11" s="72">
        <f t="shared" si="2"/>
        <v>1589.5339585860002</v>
      </c>
      <c r="J11" s="72">
        <f t="shared" si="2"/>
        <v>1605.4292981718602</v>
      </c>
      <c r="K11" s="72">
        <f>J11*(1+K12)</f>
        <v>1621.4835911535788</v>
      </c>
      <c r="L11" s="72">
        <f t="shared" ref="L11:Q11" si="3">K11*(1+L12)</f>
        <v>1637.6984270651146</v>
      </c>
      <c r="M11" s="72">
        <f t="shared" si="3"/>
        <v>1654.0754113357657</v>
      </c>
      <c r="N11" s="72">
        <f t="shared" si="3"/>
        <v>1670.6161654491234</v>
      </c>
      <c r="O11" s="72">
        <f t="shared" si="3"/>
        <v>1687.3223271036147</v>
      </c>
      <c r="P11" s="72">
        <f t="shared" si="3"/>
        <v>1704.1955503746508</v>
      </c>
      <c r="Q11" s="72">
        <f t="shared" si="3"/>
        <v>1721.2375058783973</v>
      </c>
    </row>
    <row r="12" spans="1:28" x14ac:dyDescent="0.2">
      <c r="A12" s="5"/>
      <c r="B12" s="4" t="s">
        <v>1</v>
      </c>
      <c r="C12" s="86"/>
      <c r="D12" s="89">
        <f>D11/C11-1</f>
        <v>0.11667316461693367</v>
      </c>
      <c r="E12" s="89">
        <f>E11/D11-1</f>
        <v>0.36782174334338391</v>
      </c>
      <c r="F12" s="89">
        <f>F11/E11-1</f>
        <v>0.24620835164267074</v>
      </c>
      <c r="G12" s="85">
        <v>0.01</v>
      </c>
      <c r="H12" s="85">
        <f>G12</f>
        <v>0.01</v>
      </c>
      <c r="I12" s="85">
        <f t="shared" ref="I12:P12" si="4">H12</f>
        <v>0.01</v>
      </c>
      <c r="J12" s="85">
        <f t="shared" si="4"/>
        <v>0.01</v>
      </c>
      <c r="K12" s="85">
        <f t="shared" si="4"/>
        <v>0.01</v>
      </c>
      <c r="L12" s="85">
        <f t="shared" si="4"/>
        <v>0.01</v>
      </c>
      <c r="M12" s="85">
        <f t="shared" si="4"/>
        <v>0.01</v>
      </c>
      <c r="N12" s="85">
        <f t="shared" si="4"/>
        <v>0.01</v>
      </c>
      <c r="O12" s="85">
        <f t="shared" si="4"/>
        <v>0.01</v>
      </c>
      <c r="P12" s="85">
        <f t="shared" si="4"/>
        <v>0.01</v>
      </c>
      <c r="Q12" s="85">
        <v>0.01</v>
      </c>
    </row>
    <row r="13" spans="1:28" ht="16" customHeight="1" x14ac:dyDescent="0.2">
      <c r="A13" s="5"/>
      <c r="B13" s="4" t="s">
        <v>15</v>
      </c>
      <c r="C13" s="88">
        <f>C14/C11</f>
        <v>5.957468859190241E-2</v>
      </c>
      <c r="D13" s="88">
        <f t="shared" ref="D13:F13" si="5">D14/D11</f>
        <v>9.0438714054163344E-2</v>
      </c>
      <c r="E13" s="88">
        <f t="shared" si="5"/>
        <v>0.11478338976917311</v>
      </c>
      <c r="F13" s="88">
        <f t="shared" si="5"/>
        <v>0.11576459729346779</v>
      </c>
      <c r="G13" s="84">
        <v>0.1119</v>
      </c>
      <c r="H13" s="84">
        <v>0.1137</v>
      </c>
      <c r="I13" s="84">
        <v>0.11550000000000001</v>
      </c>
      <c r="J13" s="84">
        <v>0.115</v>
      </c>
      <c r="K13" s="84">
        <v>0.115</v>
      </c>
      <c r="L13" s="84">
        <v>0.11</v>
      </c>
      <c r="M13" s="84">
        <v>0.11</v>
      </c>
      <c r="N13" s="84">
        <v>0.11</v>
      </c>
      <c r="O13" s="84">
        <v>0.11</v>
      </c>
      <c r="P13" s="84">
        <v>0.11</v>
      </c>
      <c r="Q13" s="84">
        <v>0.11</v>
      </c>
    </row>
    <row r="14" spans="1:28" ht="17.25" customHeight="1" x14ac:dyDescent="0.2">
      <c r="A14" s="5"/>
      <c r="B14" s="4" t="s">
        <v>16</v>
      </c>
      <c r="C14" s="105">
        <v>48.286000000000001</v>
      </c>
      <c r="D14" s="105">
        <v>81.853999999999999</v>
      </c>
      <c r="E14" s="105">
        <v>142.1</v>
      </c>
      <c r="F14" s="105">
        <v>178.6</v>
      </c>
      <c r="G14" s="106">
        <f>G13*G11</f>
        <v>174.364130934</v>
      </c>
      <c r="H14" s="106">
        <f>H13*H11</f>
        <v>178.94060504082</v>
      </c>
      <c r="I14" s="106">
        <f t="shared" ref="I14:P14" si="6">I13*I11</f>
        <v>183.59117221668302</v>
      </c>
      <c r="J14" s="106">
        <f>J13*J11</f>
        <v>184.62436928976393</v>
      </c>
      <c r="K14" s="106">
        <f t="shared" si="6"/>
        <v>186.47061298266158</v>
      </c>
      <c r="L14" s="106">
        <f t="shared" si="6"/>
        <v>180.14682697716262</v>
      </c>
      <c r="M14" s="106">
        <f>M13*M11</f>
        <v>181.94829524693424</v>
      </c>
      <c r="N14" s="106">
        <f t="shared" si="6"/>
        <v>183.76777819940358</v>
      </c>
      <c r="O14" s="106">
        <f>O13*O11</f>
        <v>185.60545598139763</v>
      </c>
      <c r="P14" s="106">
        <f t="shared" si="6"/>
        <v>187.4615105412116</v>
      </c>
      <c r="Q14" s="106">
        <f>Q13*Q11</f>
        <v>189.33612564662371</v>
      </c>
    </row>
    <row r="15" spans="1:28" x14ac:dyDescent="0.2">
      <c r="A15" s="100">
        <v>0.2</v>
      </c>
      <c r="B15" s="4" t="s">
        <v>39</v>
      </c>
      <c r="C15" s="105">
        <v>0.50700000000000001</v>
      </c>
      <c r="D15" s="105">
        <v>50.631</v>
      </c>
      <c r="E15" s="105">
        <v>101</v>
      </c>
      <c r="F15" s="105">
        <v>121.8</v>
      </c>
      <c r="G15" s="72">
        <f>G14*(1-$A$15)</f>
        <v>139.49130474720002</v>
      </c>
      <c r="H15" s="72">
        <f t="shared" ref="H15:I15" si="7">H14*(1-$A$15)</f>
        <v>143.15248403265602</v>
      </c>
      <c r="I15" s="72">
        <f t="shared" si="7"/>
        <v>146.87293777334642</v>
      </c>
      <c r="J15" s="72">
        <f>J14*(1-$A$15)</f>
        <v>147.69949543181116</v>
      </c>
      <c r="K15" s="72">
        <f>K14*(1-$A$15)</f>
        <v>149.17649038612927</v>
      </c>
      <c r="L15" s="72">
        <f t="shared" ref="L15:Q15" si="8">L14*(1-$A$15)</f>
        <v>144.11746158173011</v>
      </c>
      <c r="M15" s="72">
        <f t="shared" si="8"/>
        <v>145.5586361975474</v>
      </c>
      <c r="N15" s="72">
        <f t="shared" si="8"/>
        <v>147.01422255952286</v>
      </c>
      <c r="O15" s="72">
        <f>O14*(1-$A$15)</f>
        <v>148.48436478511812</v>
      </c>
      <c r="P15" s="72">
        <f t="shared" si="8"/>
        <v>149.96920843296928</v>
      </c>
      <c r="Q15" s="72">
        <f t="shared" si="8"/>
        <v>151.46890051729898</v>
      </c>
    </row>
    <row r="16" spans="1:28" ht="35" hidden="1" thickBot="1" x14ac:dyDescent="0.25">
      <c r="A16" s="13" t="s">
        <v>6</v>
      </c>
      <c r="B16" s="14"/>
      <c r="C16" s="15">
        <f t="shared" ref="C16:J16" si="9">C15/C14</f>
        <v>1.0499937870190117E-2</v>
      </c>
      <c r="D16" s="15">
        <f t="shared" si="9"/>
        <v>0.61855254477484301</v>
      </c>
      <c r="E16" s="15">
        <f t="shared" si="9"/>
        <v>0.71076706544686841</v>
      </c>
      <c r="F16" s="15">
        <f t="shared" si="9"/>
        <v>0.68197088465845468</v>
      </c>
      <c r="G16" s="15">
        <f t="shared" si="9"/>
        <v>0.8</v>
      </c>
      <c r="H16" s="15">
        <f t="shared" si="9"/>
        <v>0.8</v>
      </c>
      <c r="I16" s="15">
        <f t="shared" si="9"/>
        <v>0.8</v>
      </c>
      <c r="J16" s="15">
        <f t="shared" si="9"/>
        <v>0.8</v>
      </c>
    </row>
    <row r="17" spans="1:18" ht="17" x14ac:dyDescent="0.2">
      <c r="A17" s="2" t="s">
        <v>36</v>
      </c>
      <c r="C17" s="82"/>
      <c r="D17" s="82"/>
      <c r="E17" s="82"/>
      <c r="F17" s="82"/>
      <c r="G17" s="72">
        <f>G15/G18</f>
        <v>0.58225625836745531</v>
      </c>
      <c r="H17" s="72">
        <f t="shared" ref="H17:O17" si="10">H15/H18</f>
        <v>0.59753853388868161</v>
      </c>
      <c r="I17" s="72">
        <f t="shared" si="10"/>
        <v>0.61306822929449567</v>
      </c>
      <c r="J17" s="72">
        <f t="shared" si="10"/>
        <v>0.61651839681866383</v>
      </c>
      <c r="K17" s="72">
        <f t="shared" si="10"/>
        <v>0.62268358078685049</v>
      </c>
      <c r="L17" s="72">
        <f t="shared" si="10"/>
        <v>0.60156648543842683</v>
      </c>
      <c r="M17" s="72">
        <f t="shared" si="10"/>
        <v>0.60758215029281115</v>
      </c>
      <c r="N17" s="72">
        <f t="shared" si="10"/>
        <v>0.61365797179573922</v>
      </c>
      <c r="O17" s="72">
        <f t="shared" si="10"/>
        <v>0.61979455151369667</v>
      </c>
      <c r="P17" s="72">
        <f>P15/P18</f>
        <v>0.62599249702883353</v>
      </c>
      <c r="Q17" s="72"/>
    </row>
    <row r="18" spans="1:18" ht="35" thickBot="1" x14ac:dyDescent="0.25">
      <c r="A18" s="2" t="s">
        <v>38</v>
      </c>
      <c r="C18" s="82"/>
      <c r="D18" s="82"/>
      <c r="E18" s="82"/>
      <c r="F18" s="82"/>
      <c r="G18" s="72">
        <f>C50</f>
        <v>239.57029700000001</v>
      </c>
      <c r="H18" s="72">
        <f>G18*1</f>
        <v>239.57029700000001</v>
      </c>
      <c r="I18" s="72">
        <f t="shared" ref="I18:P18" si="11">H18*1</f>
        <v>239.57029700000001</v>
      </c>
      <c r="J18" s="72">
        <f t="shared" si="11"/>
        <v>239.57029700000001</v>
      </c>
      <c r="K18" s="72">
        <f t="shared" si="11"/>
        <v>239.57029700000001</v>
      </c>
      <c r="L18" s="72">
        <f t="shared" si="11"/>
        <v>239.57029700000001</v>
      </c>
      <c r="M18" s="72">
        <f t="shared" si="11"/>
        <v>239.57029700000001</v>
      </c>
      <c r="N18" s="72">
        <f t="shared" si="11"/>
        <v>239.57029700000001</v>
      </c>
      <c r="O18" s="72">
        <f t="shared" si="11"/>
        <v>239.57029700000001</v>
      </c>
      <c r="P18" s="72">
        <f t="shared" si="11"/>
        <v>239.57029700000001</v>
      </c>
      <c r="Q18" s="72"/>
    </row>
    <row r="19" spans="1:18" ht="17" thickBot="1" x14ac:dyDescent="0.25">
      <c r="A19" s="2"/>
      <c r="E19" s="51" t="s">
        <v>12</v>
      </c>
      <c r="F19" s="52"/>
      <c r="G19" s="53">
        <f>G15/(1+$C$55)</f>
        <v>126.89679758671822</v>
      </c>
      <c r="H19" s="53">
        <f>H15/(1+$C$55)^2</f>
        <v>118.46933205913578</v>
      </c>
      <c r="I19" s="53">
        <f>I15/(1+$C$55)^3</f>
        <v>110.57383157308611</v>
      </c>
      <c r="J19" s="53">
        <f>J15/(1+$C$55)^4</f>
        <v>101.15634163957874</v>
      </c>
      <c r="K19" s="53">
        <f>K15/(1+$C$55)^5</f>
        <v>92.943284108232461</v>
      </c>
      <c r="L19" s="53">
        <f>L15/(1+$C$55)^6</f>
        <v>81.684143255180899</v>
      </c>
      <c r="M19" s="53">
        <f>M15/(1+$C$55)^7</f>
        <v>75.052067034553289</v>
      </c>
      <c r="N19" s="53">
        <f>N15/(1+$C$55)^8</f>
        <v>68.958460500249089</v>
      </c>
      <c r="O19" s="53">
        <f>O15/(1+$C$55)^9</f>
        <v>63.359604371391029</v>
      </c>
      <c r="P19" s="53">
        <f>P15/(1+$C$55)^10</f>
        <v>58.215329010784558</v>
      </c>
      <c r="Q19" s="54">
        <f>(Q15/(C55-Q12))/(1+C55)^10</f>
        <v>658.79531989795407</v>
      </c>
    </row>
    <row r="20" spans="1:18" x14ac:dyDescent="0.2">
      <c r="A20" s="2"/>
      <c r="C20" s="75"/>
      <c r="D20" s="42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">
      <c r="A21" s="2"/>
      <c r="J21" s="101"/>
      <c r="K21" s="101"/>
      <c r="L21" s="101"/>
      <c r="M21" s="101"/>
      <c r="N21" s="101"/>
      <c r="O21" s="101"/>
      <c r="P21" s="101"/>
      <c r="Q21" s="101"/>
      <c r="R21" s="3"/>
    </row>
    <row r="22" spans="1:18" ht="17" thickBot="1" x14ac:dyDescent="0.25">
      <c r="P22" s="3"/>
      <c r="Q22" s="3"/>
      <c r="R22" s="3"/>
    </row>
    <row r="23" spans="1:18" x14ac:dyDescent="0.2">
      <c r="A23" s="32" t="s">
        <v>24</v>
      </c>
      <c r="B23" s="33"/>
      <c r="C23" s="33"/>
      <c r="D23" s="34"/>
      <c r="E23" s="23"/>
      <c r="F23" s="33"/>
      <c r="G23" s="59" t="s">
        <v>25</v>
      </c>
      <c r="H23" s="23"/>
      <c r="I23" s="78">
        <v>3.7499999999999999E-2</v>
      </c>
      <c r="J23" s="24" t="s">
        <v>26</v>
      </c>
    </row>
    <row r="24" spans="1:18" x14ac:dyDescent="0.2">
      <c r="A24" s="35"/>
      <c r="B24" s="36"/>
      <c r="C24" s="36"/>
      <c r="D24" s="37"/>
      <c r="E24" s="36"/>
      <c r="F24" s="36"/>
      <c r="G24" s="25"/>
      <c r="I24" s="79"/>
      <c r="J24" s="26"/>
    </row>
    <row r="25" spans="1:18" x14ac:dyDescent="0.2">
      <c r="A25" s="35"/>
      <c r="B25" s="36"/>
      <c r="C25" s="36"/>
      <c r="D25" s="38"/>
      <c r="F25" s="36"/>
      <c r="G25" s="25" t="s">
        <v>27</v>
      </c>
      <c r="I25" s="80">
        <f>(I27-I23)*I29</f>
        <v>6.1750000000000013E-2</v>
      </c>
      <c r="J25" s="26"/>
    </row>
    <row r="26" spans="1:18" x14ac:dyDescent="0.2">
      <c r="A26" s="35"/>
      <c r="B26" s="36"/>
      <c r="C26" s="36"/>
      <c r="D26" s="38"/>
      <c r="F26" s="36"/>
      <c r="G26" s="25"/>
      <c r="I26" s="79"/>
      <c r="J26" s="26"/>
    </row>
    <row r="27" spans="1:18" x14ac:dyDescent="0.2">
      <c r="A27" s="35"/>
      <c r="B27" s="36"/>
      <c r="C27" s="36"/>
      <c r="D27" s="38"/>
      <c r="F27" s="36"/>
      <c r="G27" s="25" t="s">
        <v>28</v>
      </c>
      <c r="I27" s="81">
        <v>7.0000000000000007E-2</v>
      </c>
      <c r="J27" s="26" t="s">
        <v>29</v>
      </c>
    </row>
    <row r="28" spans="1:18" x14ac:dyDescent="0.2">
      <c r="A28" s="35"/>
      <c r="B28" s="36"/>
      <c r="C28" s="36"/>
      <c r="D28" s="39"/>
      <c r="F28" s="36"/>
      <c r="G28" s="25"/>
      <c r="I28" s="79"/>
      <c r="J28" s="26"/>
    </row>
    <row r="29" spans="1:18" x14ac:dyDescent="0.2">
      <c r="A29" s="35"/>
      <c r="B29" s="36"/>
      <c r="C29" s="36"/>
      <c r="D29" s="39"/>
      <c r="F29" s="36"/>
      <c r="G29" s="25" t="s">
        <v>35</v>
      </c>
      <c r="I29" s="79">
        <v>1.9</v>
      </c>
      <c r="J29" s="26" t="s">
        <v>30</v>
      </c>
    </row>
    <row r="30" spans="1:18" x14ac:dyDescent="0.2">
      <c r="A30" s="35"/>
      <c r="B30" s="36"/>
      <c r="C30" s="36"/>
      <c r="D30" s="40"/>
      <c r="F30" s="36"/>
      <c r="G30" s="25"/>
      <c r="I30" s="79"/>
      <c r="J30" s="26"/>
    </row>
    <row r="31" spans="1:18" x14ac:dyDescent="0.2">
      <c r="A31" s="35"/>
      <c r="B31" s="36"/>
      <c r="C31" s="36"/>
      <c r="D31" s="37"/>
      <c r="F31" s="36"/>
      <c r="G31" s="25" t="s">
        <v>31</v>
      </c>
      <c r="I31" s="81">
        <f>I23+(I27-I23)*I29</f>
        <v>9.9250000000000005E-2</v>
      </c>
      <c r="J31" s="26" t="s">
        <v>32</v>
      </c>
    </row>
    <row r="32" spans="1:18" x14ac:dyDescent="0.2">
      <c r="A32" s="25"/>
      <c r="C32" s="41"/>
      <c r="E32" s="36"/>
      <c r="F32" s="36"/>
      <c r="G32" s="25"/>
      <c r="J32" s="26"/>
    </row>
    <row r="33" spans="1:10" x14ac:dyDescent="0.2">
      <c r="A33" s="25"/>
      <c r="G33" s="76" t="s">
        <v>34</v>
      </c>
      <c r="H33" s="22"/>
      <c r="I33" s="77">
        <f>I31</f>
        <v>9.9250000000000005E-2</v>
      </c>
      <c r="J33" s="26"/>
    </row>
    <row r="34" spans="1:10" x14ac:dyDescent="0.2">
      <c r="A34" s="35" t="s">
        <v>7</v>
      </c>
      <c r="B34" s="36"/>
      <c r="C34" s="42"/>
      <c r="D34" s="27"/>
      <c r="G34" s="25"/>
      <c r="J34" s="26"/>
    </row>
    <row r="35" spans="1:10" ht="15.75" hidden="1" customHeight="1" x14ac:dyDescent="0.2">
      <c r="A35" s="25"/>
      <c r="G35" s="25"/>
      <c r="J35" s="26"/>
    </row>
    <row r="36" spans="1:10" ht="15.75" hidden="1" customHeight="1" x14ac:dyDescent="0.2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2">
      <c r="A37" s="25"/>
      <c r="G37" s="25"/>
      <c r="J37" s="26"/>
    </row>
    <row r="38" spans="1:10" ht="15.75" hidden="1" customHeight="1" x14ac:dyDescent="0.2">
      <c r="A38" s="25"/>
      <c r="G38" s="25"/>
      <c r="J38" s="26"/>
    </row>
    <row r="39" spans="1:10" ht="15.75" hidden="1" customHeight="1" x14ac:dyDescent="0.2">
      <c r="A39" s="25"/>
      <c r="G39" s="25"/>
      <c r="J39" s="26"/>
    </row>
    <row r="40" spans="1:10" hidden="1" x14ac:dyDescent="0.2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2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2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2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2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2">
      <c r="A45" s="25"/>
      <c r="G45" s="25"/>
      <c r="J45" s="26"/>
    </row>
    <row r="46" spans="1:10" ht="17" thickBot="1" x14ac:dyDescent="0.25">
      <c r="A46" s="28"/>
      <c r="B46" s="29" t="s">
        <v>20</v>
      </c>
      <c r="C46" s="29"/>
      <c r="D46" s="44">
        <f>I33</f>
        <v>9.9250000000000005E-2</v>
      </c>
      <c r="E46" s="29"/>
      <c r="F46" s="29"/>
      <c r="G46" s="28"/>
      <c r="H46" s="29"/>
      <c r="I46" s="29"/>
      <c r="J46" s="30"/>
    </row>
    <row r="48" spans="1:10" x14ac:dyDescent="0.2">
      <c r="A48" s="16"/>
      <c r="B48" s="17"/>
      <c r="C48" s="83">
        <f ca="1">TODAY()</f>
        <v>45177</v>
      </c>
      <c r="D48" s="18" t="s">
        <v>3</v>
      </c>
      <c r="E48" s="19"/>
      <c r="F48" s="20"/>
      <c r="G48" s="21"/>
      <c r="H48" s="21"/>
      <c r="I48" s="21"/>
    </row>
    <row r="49" spans="1:20" ht="17" x14ac:dyDescent="0.2">
      <c r="A49" s="45" t="s">
        <v>0</v>
      </c>
      <c r="B49" s="46" t="s">
        <v>5</v>
      </c>
      <c r="C49" s="56">
        <f>C50*C51</f>
        <v>1447.0045938800001</v>
      </c>
      <c r="D49" s="47">
        <f>SUM(G19:Q19)</f>
        <v>1556.1045110368641</v>
      </c>
      <c r="E49" s="46" t="s">
        <v>50</v>
      </c>
    </row>
    <row r="50" spans="1:20" x14ac:dyDescent="0.2">
      <c r="A50" s="45"/>
      <c r="B50" s="46" t="s">
        <v>11</v>
      </c>
      <c r="C50" s="56">
        <f>239.570297</f>
        <v>239.57029700000001</v>
      </c>
      <c r="D50" s="56">
        <f>C50</f>
        <v>239.57029700000001</v>
      </c>
      <c r="E50" s="46"/>
    </row>
    <row r="51" spans="1:20" x14ac:dyDescent="0.2">
      <c r="A51" s="45"/>
      <c r="B51" s="46" t="s">
        <v>13</v>
      </c>
      <c r="C51" s="87">
        <v>6.04</v>
      </c>
      <c r="D51" s="87">
        <f>D49/(D50)</f>
        <v>6.4953983466358691</v>
      </c>
      <c r="E51" s="46" t="s">
        <v>50</v>
      </c>
    </row>
    <row r="52" spans="1:20" x14ac:dyDescent="0.2">
      <c r="A52" s="45"/>
      <c r="B52" s="46" t="s">
        <v>2</v>
      </c>
      <c r="C52" s="46"/>
      <c r="D52" s="57">
        <f>IF(C51/D51-1&gt;0,0,C51/D51-1)*-1</f>
        <v>7.0110918889482954E-2</v>
      </c>
      <c r="E52" s="46"/>
    </row>
    <row r="53" spans="1:20" x14ac:dyDescent="0.2">
      <c r="A53" s="45"/>
      <c r="B53" s="46" t="s">
        <v>14</v>
      </c>
      <c r="C53" s="46"/>
      <c r="D53" s="58">
        <f>IF(C51/D51-1&lt;0,0,C51/D51-1)</f>
        <v>0</v>
      </c>
      <c r="E53" s="46"/>
    </row>
    <row r="54" spans="1:20" x14ac:dyDescent="0.2">
      <c r="A54" s="46"/>
      <c r="B54" s="46"/>
      <c r="C54" s="46"/>
      <c r="D54" s="48"/>
      <c r="E54" s="48"/>
    </row>
    <row r="55" spans="1:20" x14ac:dyDescent="0.2">
      <c r="A55" s="48" t="s">
        <v>19</v>
      </c>
      <c r="B55" s="46"/>
      <c r="C55" s="50">
        <f>D46</f>
        <v>9.9250000000000005E-2</v>
      </c>
      <c r="D55" s="49"/>
      <c r="E55" s="46"/>
      <c r="J55" s="70"/>
    </row>
    <row r="56" spans="1:20" x14ac:dyDescent="0.2">
      <c r="A56" s="48"/>
      <c r="B56" s="46"/>
      <c r="C56" s="50"/>
      <c r="D56" s="49"/>
      <c r="E56" s="46"/>
    </row>
    <row r="57" spans="1:20" hidden="1" x14ac:dyDescent="0.2">
      <c r="A57" s="48" t="s">
        <v>22</v>
      </c>
      <c r="B57" s="73">
        <v>0.108</v>
      </c>
      <c r="C57" s="50"/>
      <c r="D57" s="74">
        <f>SUM(H57:Q57)*1000</f>
        <v>1364653.0583623422</v>
      </c>
      <c r="E57" s="46"/>
      <c r="F57" s="1" t="s">
        <v>23</v>
      </c>
      <c r="H57" s="1">
        <f>G15/(1+$B$57)</f>
        <v>125.89467937472925</v>
      </c>
      <c r="I57" s="1">
        <f>H15/(1+$B$57)^2</f>
        <v>116.60558917802915</v>
      </c>
      <c r="J57" s="1">
        <f>I15/(1+$B$57)^3</f>
        <v>107.97482295199374</v>
      </c>
      <c r="K57" s="1">
        <f>J15/(1+$B$57)^4</f>
        <v>97.998622266038964</v>
      </c>
      <c r="L57" s="1">
        <f>K15/(1+$B$57)^5</f>
        <v>89.330874087273784</v>
      </c>
      <c r="M57" s="1">
        <f>L15/(1+$B$57)^6</f>
        <v>77.889343204333045</v>
      </c>
      <c r="N57" s="1">
        <f>M15/(1+$B$57)^7</f>
        <v>71.00021357073679</v>
      </c>
      <c r="O57" s="1">
        <f>N15/(1+$B$57)^8</f>
        <v>64.720411287404445</v>
      </c>
      <c r="P57" s="1">
        <f>O15/(1+$B$57)^9</f>
        <v>58.996042780034742</v>
      </c>
      <c r="Q57" s="1">
        <f>(Q15/(B57-Q12))/(1+B57)^10</f>
        <v>554.24245966176807</v>
      </c>
    </row>
    <row r="58" spans="1:20" ht="17" thickBot="1" x14ac:dyDescent="0.25">
      <c r="A58" s="22"/>
      <c r="C58" s="65"/>
      <c r="D58" s="66"/>
    </row>
    <row r="59" spans="1:20" x14ac:dyDescent="0.2">
      <c r="A59" s="59" t="s">
        <v>41</v>
      </c>
      <c r="B59" s="23"/>
      <c r="C59" s="67">
        <v>25</v>
      </c>
      <c r="D59" s="23"/>
      <c r="E59" s="24"/>
    </row>
    <row r="60" spans="1:20" x14ac:dyDescent="0.2">
      <c r="A60" s="25" t="s">
        <v>21</v>
      </c>
      <c r="C60" s="68"/>
      <c r="D60" s="68"/>
      <c r="E60" s="26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1:20" x14ac:dyDescent="0.2">
      <c r="A61" s="25"/>
      <c r="C61" s="68"/>
      <c r="E61" s="26"/>
    </row>
    <row r="62" spans="1:20" x14ac:dyDescent="0.2">
      <c r="A62" s="25" t="s">
        <v>37</v>
      </c>
      <c r="C62" s="68"/>
      <c r="E62" s="60">
        <f>P17*C59</f>
        <v>15.649812425720839</v>
      </c>
    </row>
    <row r="63" spans="1:20" x14ac:dyDescent="0.2">
      <c r="A63" s="25"/>
      <c r="C63" s="68"/>
      <c r="E63" s="26"/>
    </row>
    <row r="64" spans="1:20" x14ac:dyDescent="0.2">
      <c r="A64" s="25" t="s">
        <v>17</v>
      </c>
      <c r="C64" s="69">
        <v>0</v>
      </c>
      <c r="E64" s="26"/>
    </row>
    <row r="65" spans="1:5" x14ac:dyDescent="0.2">
      <c r="A65" s="25"/>
      <c r="E65" s="26"/>
    </row>
    <row r="66" spans="1:5" x14ac:dyDescent="0.2">
      <c r="A66" s="25" t="s">
        <v>18</v>
      </c>
      <c r="E66" s="60">
        <f>SUM(G17:Q17)*C64</f>
        <v>0</v>
      </c>
    </row>
    <row r="67" spans="1:5" x14ac:dyDescent="0.2">
      <c r="A67" s="25"/>
      <c r="E67" s="61"/>
    </row>
    <row r="68" spans="1:5" x14ac:dyDescent="0.2">
      <c r="A68" s="103" t="s">
        <v>49</v>
      </c>
      <c r="E68" s="104">
        <f>(E66*0.25)*-1</f>
        <v>0</v>
      </c>
    </row>
    <row r="69" spans="1:5" x14ac:dyDescent="0.2">
      <c r="A69" s="25"/>
      <c r="C69" s="41"/>
      <c r="D69" s="41"/>
      <c r="E69" s="62"/>
    </row>
    <row r="70" spans="1:5" x14ac:dyDescent="0.2">
      <c r="A70" s="25" t="s">
        <v>42</v>
      </c>
      <c r="E70" s="60">
        <f>SUM(E62:E68)</f>
        <v>15.649812425720839</v>
      </c>
    </row>
    <row r="71" spans="1:5" x14ac:dyDescent="0.2">
      <c r="A71" s="25"/>
      <c r="E71" s="60"/>
    </row>
    <row r="72" spans="1:5" x14ac:dyDescent="0.2">
      <c r="A72" s="25" t="s">
        <v>43</v>
      </c>
      <c r="E72" s="62">
        <f>E70/C51-1</f>
        <v>1.5910285473047745</v>
      </c>
    </row>
    <row r="73" spans="1:5" x14ac:dyDescent="0.2">
      <c r="A73" s="25"/>
      <c r="E73" s="26"/>
    </row>
    <row r="74" spans="1:5" ht="17" thickBot="1" x14ac:dyDescent="0.25">
      <c r="A74" s="63" t="s">
        <v>44</v>
      </c>
      <c r="B74" s="64"/>
      <c r="C74" s="64"/>
      <c r="D74" s="64"/>
      <c r="E74" s="102">
        <f>(E70/C51)^(1/10)-1</f>
        <v>9.9884849375757812E-2</v>
      </c>
    </row>
  </sheetData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conditionalFormatting sqref="G6:J8">
    <cfRule type="top10" dxfId="3" priority="5" percent="1" rank="10"/>
  </conditionalFormatting>
  <conditionalFormatting sqref="L2:L5">
    <cfRule type="top10" dxfId="2" priority="3" percent="1" rank="10"/>
  </conditionalFormatting>
  <conditionalFormatting sqref="L6:L8">
    <cfRule type="top10" dxfId="1" priority="6" percent="1" rank="10"/>
  </conditionalFormatting>
  <conditionalFormatting sqref="L9">
    <cfRule type="top10" dxfId="0" priority="4" percent="1" rank="10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Pessimistisch</vt:lpstr>
      <vt:lpstr>Optimistisch</vt:lpstr>
      <vt:lpstr>Wachstum für faire Bewertung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Tilman Reichel</cp:lastModifiedBy>
  <cp:lastPrinted>2021-08-03T18:16:56Z</cp:lastPrinted>
  <dcterms:created xsi:type="dcterms:W3CDTF">2020-02-09T06:30:31Z</dcterms:created>
  <dcterms:modified xsi:type="dcterms:W3CDTF">2023-09-08T21:17:56Z</dcterms:modified>
</cp:coreProperties>
</file>