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LVMH/"/>
    </mc:Choice>
  </mc:AlternateContent>
  <xr:revisionPtr revIDLastSave="0" documentId="13_ncr:1_{AF560B76-6248-B747-BF58-82404E97C134}" xr6:coauthVersionLast="47" xr6:coauthVersionMax="47" xr10:uidLastSave="{00000000-0000-0000-0000-000000000000}"/>
  <bookViews>
    <workbookView xWindow="35780" yWindow="500" windowWidth="32860" windowHeight="26580" activeTab="2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37" l="1"/>
  <c r="C50" i="34"/>
  <c r="C51" i="35"/>
  <c r="G13" i="35"/>
  <c r="H15" i="35" l="1"/>
  <c r="I15" i="35"/>
  <c r="G15" i="35"/>
  <c r="H13" i="35"/>
  <c r="I13" i="35"/>
  <c r="J13" i="35"/>
  <c r="K13" i="35"/>
  <c r="L13" i="35"/>
  <c r="M13" i="35"/>
  <c r="N13" i="35"/>
  <c r="O13" i="35"/>
  <c r="P13" i="35"/>
  <c r="Q13" i="35"/>
  <c r="I29" i="35"/>
  <c r="I29" i="37"/>
  <c r="A68" i="35"/>
  <c r="A68" i="37"/>
  <c r="H18" i="37"/>
  <c r="G18" i="34"/>
  <c r="H18" i="34" s="1"/>
  <c r="I18" i="34" s="1"/>
  <c r="J18" i="34" s="1"/>
  <c r="H10" i="35"/>
  <c r="I10" i="35"/>
  <c r="J10" i="35"/>
  <c r="K10" i="35"/>
  <c r="L10" i="35"/>
  <c r="M10" i="35"/>
  <c r="N10" i="35"/>
  <c r="O10" i="35"/>
  <c r="P10" i="35"/>
  <c r="Q10" i="35"/>
  <c r="G10" i="35"/>
  <c r="D10" i="35"/>
  <c r="E10" i="35"/>
  <c r="F10" i="35"/>
  <c r="C10" i="35"/>
  <c r="C10" i="37"/>
  <c r="H10" i="37"/>
  <c r="I10" i="37"/>
  <c r="J10" i="37"/>
  <c r="K10" i="37"/>
  <c r="L10" i="37"/>
  <c r="M10" i="37"/>
  <c r="N10" i="37"/>
  <c r="O10" i="37"/>
  <c r="P10" i="37"/>
  <c r="Q10" i="37"/>
  <c r="G10" i="37"/>
  <c r="F10" i="37"/>
  <c r="D10" i="37"/>
  <c r="E10" i="37"/>
  <c r="B6" i="37"/>
  <c r="B6" i="35"/>
  <c r="B4" i="35"/>
  <c r="B4" i="37"/>
  <c r="B50" i="35"/>
  <c r="B49" i="35"/>
  <c r="B50" i="37"/>
  <c r="B49" i="37"/>
  <c r="A74" i="35"/>
  <c r="A72" i="35"/>
  <c r="A70" i="35"/>
  <c r="C50" i="35"/>
  <c r="C50" i="37"/>
  <c r="C48" i="35"/>
  <c r="C48" i="37"/>
  <c r="F15" i="35"/>
  <c r="E15" i="35"/>
  <c r="D15" i="35"/>
  <c r="C15" i="35"/>
  <c r="K18" i="34" l="1"/>
  <c r="L18" i="34" s="1"/>
  <c r="M18" i="34" s="1"/>
  <c r="N18" i="34" s="1"/>
  <c r="O18" i="34" s="1"/>
  <c r="P18" i="34" s="1"/>
  <c r="D14" i="35"/>
  <c r="E14" i="35"/>
  <c r="F14" i="35"/>
  <c r="C14" i="35"/>
  <c r="D11" i="35"/>
  <c r="E11" i="35"/>
  <c r="F11" i="35"/>
  <c r="C11" i="35"/>
  <c r="H15" i="37"/>
  <c r="I15" i="37"/>
  <c r="J57" i="37" s="1"/>
  <c r="G15" i="37"/>
  <c r="H57" i="37" s="1"/>
  <c r="D15" i="37"/>
  <c r="E15" i="37"/>
  <c r="F15" i="37"/>
  <c r="C15" i="37"/>
  <c r="H14" i="37"/>
  <c r="H16" i="37" s="1"/>
  <c r="I14" i="37"/>
  <c r="G14" i="37"/>
  <c r="D14" i="37"/>
  <c r="E14" i="37"/>
  <c r="F14" i="37"/>
  <c r="C14" i="37"/>
  <c r="I11" i="37"/>
  <c r="J11" i="37" s="1"/>
  <c r="H11" i="37"/>
  <c r="G11" i="37"/>
  <c r="F11" i="37"/>
  <c r="D11" i="37"/>
  <c r="E11" i="37"/>
  <c r="C11" i="37"/>
  <c r="Q12" i="35"/>
  <c r="I57" i="37"/>
  <c r="D50" i="37"/>
  <c r="C49" i="37"/>
  <c r="I31" i="37"/>
  <c r="I33" i="37" s="1"/>
  <c r="D46" i="37" s="1"/>
  <c r="C55" i="37" s="1"/>
  <c r="I25" i="37"/>
  <c r="G18" i="37"/>
  <c r="I18" i="37" s="1"/>
  <c r="J18" i="37" s="1"/>
  <c r="K18" i="37" s="1"/>
  <c r="L18" i="37" s="1"/>
  <c r="M18" i="37" s="1"/>
  <c r="N18" i="37" s="1"/>
  <c r="O18" i="37" s="1"/>
  <c r="P18" i="37" s="1"/>
  <c r="H13" i="34"/>
  <c r="I13" i="34"/>
  <c r="G13" i="34"/>
  <c r="J11" i="34"/>
  <c r="G16" i="37" l="1"/>
  <c r="I16" i="37"/>
  <c r="C16" i="37"/>
  <c r="F16" i="37"/>
  <c r="E16" i="37"/>
  <c r="D16" i="37"/>
  <c r="H13" i="37"/>
  <c r="C13" i="37"/>
  <c r="G13" i="37"/>
  <c r="E12" i="37"/>
  <c r="D12" i="37"/>
  <c r="I13" i="37"/>
  <c r="F12" i="37"/>
  <c r="D13" i="37"/>
  <c r="E13" i="37"/>
  <c r="G12" i="37"/>
  <c r="I12" i="37"/>
  <c r="F13" i="37"/>
  <c r="H12" i="37"/>
  <c r="G17" i="37"/>
  <c r="K11" i="37"/>
  <c r="K14" i="37" s="1"/>
  <c r="K15" i="37" s="1"/>
  <c r="J14" i="37"/>
  <c r="G19" i="37"/>
  <c r="I19" i="37"/>
  <c r="H19" i="37"/>
  <c r="A72" i="37"/>
  <c r="A74" i="37"/>
  <c r="A59" i="37"/>
  <c r="A70" i="37"/>
  <c r="H17" i="37"/>
  <c r="H12" i="35"/>
  <c r="I12" i="35" s="1"/>
  <c r="J12" i="35" s="1"/>
  <c r="K12" i="35" s="1"/>
  <c r="L12" i="35" s="1"/>
  <c r="M12" i="35" s="1"/>
  <c r="N12" i="35" s="1"/>
  <c r="O12" i="35" s="1"/>
  <c r="P12" i="35" s="1"/>
  <c r="D13" i="35"/>
  <c r="E13" i="35"/>
  <c r="F13" i="35"/>
  <c r="C13" i="35"/>
  <c r="D10" i="34"/>
  <c r="E10" i="34" s="1"/>
  <c r="F10" i="34" s="1"/>
  <c r="G10" i="34" s="1"/>
  <c r="H10" i="34" s="1"/>
  <c r="I10" i="34" s="1"/>
  <c r="J10" i="34" s="1"/>
  <c r="K10" i="34" s="1"/>
  <c r="L10" i="34" s="1"/>
  <c r="M10" i="34" s="1"/>
  <c r="N10" i="34" s="1"/>
  <c r="O10" i="34" s="1"/>
  <c r="P10" i="34" s="1"/>
  <c r="C49" i="34"/>
  <c r="D50" i="34"/>
  <c r="I31" i="34"/>
  <c r="D13" i="34"/>
  <c r="E13" i="34"/>
  <c r="F13" i="34"/>
  <c r="C13" i="34"/>
  <c r="G11" i="35"/>
  <c r="G14" i="35" s="1"/>
  <c r="L11" i="37" l="1"/>
  <c r="L14" i="37" s="1"/>
  <c r="L15" i="37" s="1"/>
  <c r="J15" i="37"/>
  <c r="K57" i="37" s="1"/>
  <c r="Q10" i="34"/>
  <c r="A74" i="34"/>
  <c r="A72" i="34"/>
  <c r="A70" i="34"/>
  <c r="A59" i="34"/>
  <c r="A59" i="35" s="1"/>
  <c r="M11" i="37"/>
  <c r="I17" i="37"/>
  <c r="K19" i="37"/>
  <c r="L57" i="37"/>
  <c r="J19" i="37" l="1"/>
  <c r="J16" i="37"/>
  <c r="J17" i="37"/>
  <c r="M14" i="37"/>
  <c r="M15" i="37" s="1"/>
  <c r="N11" i="37"/>
  <c r="L19" i="37"/>
  <c r="M57" i="37"/>
  <c r="H11" i="35"/>
  <c r="M19" i="37" l="1"/>
  <c r="N57" i="37"/>
  <c r="N14" i="37"/>
  <c r="N15" i="37" s="1"/>
  <c r="O11" i="37"/>
  <c r="K17" i="37"/>
  <c r="H12" i="34"/>
  <c r="I12" i="34"/>
  <c r="P11" i="37" l="1"/>
  <c r="O14" i="37"/>
  <c r="O15" i="37" s="1"/>
  <c r="O57" i="37"/>
  <c r="N19" i="37"/>
  <c r="L17" i="37"/>
  <c r="I11" i="35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6" i="35"/>
  <c r="E16" i="35"/>
  <c r="D16" i="35"/>
  <c r="C16" i="35"/>
  <c r="F12" i="35"/>
  <c r="E12" i="35"/>
  <c r="D12" i="35"/>
  <c r="O19" i="37" l="1"/>
  <c r="P57" i="37"/>
  <c r="Q11" i="37"/>
  <c r="Q14" i="37" s="1"/>
  <c r="Q15" i="37" s="1"/>
  <c r="Q19" i="37" s="1"/>
  <c r="P14" i="37"/>
  <c r="P15" i="37" s="1"/>
  <c r="M17" i="37"/>
  <c r="G17" i="35"/>
  <c r="J11" i="35"/>
  <c r="K11" i="35" s="1"/>
  <c r="L11" i="35" s="1"/>
  <c r="D41" i="37" l="1"/>
  <c r="P19" i="37"/>
  <c r="D49" i="37"/>
  <c r="D51" i="37" s="1"/>
  <c r="D40" i="37"/>
  <c r="D44" i="37"/>
  <c r="Q57" i="37"/>
  <c r="D57" i="37" s="1"/>
  <c r="D42" i="37"/>
  <c r="N17" i="37"/>
  <c r="D43" i="37"/>
  <c r="D53" i="37" l="1"/>
  <c r="D52" i="37"/>
  <c r="P17" i="37"/>
  <c r="O17" i="37"/>
  <c r="E62" i="37" l="1"/>
  <c r="E66" i="37"/>
  <c r="E68" i="37" s="1"/>
  <c r="E70" i="37" l="1"/>
  <c r="G12" i="34"/>
  <c r="E12" i="34"/>
  <c r="F12" i="34"/>
  <c r="D12" i="34"/>
  <c r="E72" i="37" l="1"/>
  <c r="E74" i="37"/>
  <c r="C16" i="34"/>
  <c r="H16" i="34"/>
  <c r="G16" i="34"/>
  <c r="F16" i="34"/>
  <c r="E16" i="34"/>
  <c r="D16" i="34"/>
  <c r="G17" i="34" l="1"/>
  <c r="H17" i="34"/>
  <c r="I33" i="34" l="1"/>
  <c r="D46" i="34" s="1"/>
  <c r="C55" i="34" s="1"/>
  <c r="I25" i="34"/>
  <c r="H19" i="34" l="1"/>
  <c r="G19" i="34"/>
  <c r="H57" i="34"/>
  <c r="I57" i="34"/>
  <c r="H14" i="35" l="1"/>
  <c r="I14" i="35" l="1"/>
  <c r="I57" i="35" l="1"/>
  <c r="H19" i="35"/>
  <c r="H17" i="35"/>
  <c r="H16" i="35"/>
  <c r="H57" i="35"/>
  <c r="G19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Q19" i="35" s="1"/>
  <c r="P14" i="35"/>
  <c r="P15" i="35" s="1"/>
  <c r="D42" i="35" l="1"/>
  <c r="D40" i="35"/>
  <c r="D41" i="35"/>
  <c r="P19" i="35"/>
  <c r="P17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9" i="34" l="1"/>
  <c r="I17" i="34"/>
  <c r="J57" i="34"/>
  <c r="I16" i="34"/>
  <c r="J14" i="34"/>
  <c r="J15" i="34" s="1"/>
  <c r="J17" i="34" s="1"/>
  <c r="K11" i="34" l="1"/>
  <c r="J19" i="34" l="1"/>
  <c r="K5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E62" i="34" l="1"/>
  <c r="E66" i="34"/>
  <c r="E68" i="34" s="1"/>
  <c r="D49" i="34"/>
  <c r="D51" i="34" s="1"/>
  <c r="D52" i="34" s="1"/>
  <c r="E70" i="34" l="1"/>
  <c r="E72" i="34" s="1"/>
  <c r="D53" i="34"/>
  <c r="E74" i="34" l="1"/>
</calcChain>
</file>

<file path=xl/sharedStrings.xml><?xml version="1.0" encoding="utf-8"?>
<sst xmlns="http://schemas.openxmlformats.org/spreadsheetml/2006/main" count="116" uniqueCount="42">
  <si>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</si>
  <si>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</si>
  <si>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</si>
  <si>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</si>
  <si>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</si>
  <si>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</si>
  <si>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</si>
  <si>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</si>
  <si>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</si>
  <si>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</si>
  <si>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</si>
  <si>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</si>
  <si>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</si>
  <si>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</si>
  <si>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</si>
  <si>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</si>
  <si>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</si>
  <si>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</si>
  <si>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</si>
  <si>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</si>
  <si>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</si>
  <si>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</si>
  <si>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</si>
  <si>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</si>
  <si>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</si>
  <si>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</si>
  <si>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</si>
  <si>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</si>
  <si>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</si>
  <si>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</si>
  <si>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</si>
  <si>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</si>
  <si>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</si>
  <si>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</si>
  <si>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</si>
  <si>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</si>
  <si>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</si>
  <si>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Marktkapitalisierung, Mrd.</t>
  </si>
  <si>
    <t>Anzahl Aktien gesamt, Mrd.</t>
  </si>
  <si>
    <t>Alle Angaben in Mrd.</t>
  </si>
  <si>
    <t>Annahmen für LVMH</t>
  </si>
  <si>
    <t>Quellensteuer Frankreich (12,8 %)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</si>
</sst>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  <xf numFmtId="4" fontId="14" fillId="5" borderId="0" xfId="0" applyNumberFormat="1" applyFont="1" applyFill="1"/>
    <xf numFmtId="2" fontId="10" fillId="5" borderId="0" xfId="0" applyNumberFormat="1" applyFont="1" applyFill="1"/>
    <xf numFmtId="2" fontId="0" fillId="7" borderId="0" xfId="0" applyNumberFormat="1" applyFill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5"/>
  <sheetViews>
    <sheetView zoomScaleNormal="100" workbookViewId="0">
      <selection activeCell="J23" sqref="J23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40</v>
      </c>
    </row>
    <row r="5" spans="1:28" x14ac:dyDescent="0.2"/>
    <row r="6" spans="1:28" x14ac:dyDescent="0.2">
      <c r="B6" s="1" t="s">
        <v>39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2019</v>
      </c>
      <c r="D10" s="11">
        <f>C10+1</f>
        <v>2020</v>
      </c>
      <c r="E10" s="11">
        <f>D10+1</f>
        <v>2021</v>
      </c>
      <c r="F10" s="11">
        <f>E10+1</f>
        <v>2022</v>
      </c>
      <c r="G10" s="55">
        <f>F10+1</f>
        <v>2023</v>
      </c>
      <c r="H10" s="55">
        <f t="shared" ref="H10:P10" si="0">G10+1</f>
        <v>2024</v>
      </c>
      <c r="I10" s="55">
        <f t="shared" si="0"/>
        <v>2025</v>
      </c>
      <c r="J10" s="55">
        <f t="shared" si="0"/>
        <v>2026</v>
      </c>
      <c r="K10" s="55">
        <f t="shared" si="0"/>
        <v>2027</v>
      </c>
      <c r="L10" s="55">
        <f t="shared" si="0"/>
        <v>2028</v>
      </c>
      <c r="M10" s="55">
        <f t="shared" si="0"/>
        <v>2029</v>
      </c>
      <c r="N10" s="55">
        <f t="shared" si="0"/>
        <v>2030</v>
      </c>
      <c r="O10" s="55">
        <f t="shared" si="0"/>
        <v>2031</v>
      </c>
      <c r="P10" s="55">
        <f t="shared" si="0"/>
        <v>2032</v>
      </c>
      <c r="Q10" s="55" t="str">
        <f>P10+1&amp;"ff."</f>
        <v>2033ff.</v>
      </c>
    </row>
    <row r="11" spans="1:28" x14ac:dyDescent="0.2">
      <c r="A11" s="5"/>
      <c r="B11" s="4" t="s">
        <v>4</v>
      </c>
      <c r="C11" s="82">
        <v>53.67</v>
      </c>
      <c r="D11" s="82">
        <v>44.651000000000003</v>
      </c>
      <c r="E11" s="82">
        <v>64.215000000000003</v>
      </c>
      <c r="F11" s="82">
        <v>79.183999999999997</v>
      </c>
      <c r="G11" s="72">
        <v>87.59</v>
      </c>
      <c r="H11" s="72">
        <v>94.54</v>
      </c>
      <c r="I11" s="72">
        <v>101.66</v>
      </c>
      <c r="J11" s="72">
        <f>I11*(1+J12)</f>
        <v>107.75960000000001</v>
      </c>
      <c r="K11" s="72">
        <f>J11*(1+K12)</f>
        <v>113.686378</v>
      </c>
      <c r="L11" s="72">
        <f t="shared" ref="L11:Q11" si="1">K11*(1+L12)</f>
        <v>119.37069690000001</v>
      </c>
      <c r="M11" s="72">
        <f t="shared" si="1"/>
        <v>125.33923174500002</v>
      </c>
      <c r="N11" s="72">
        <f t="shared" si="1"/>
        <v>130.979497173525</v>
      </c>
      <c r="O11" s="72">
        <f t="shared" si="1"/>
        <v>136.87357454633363</v>
      </c>
      <c r="P11" s="72">
        <f t="shared" si="1"/>
        <v>141.6641496554553</v>
      </c>
      <c r="Q11" s="72">
        <f t="shared" si="1"/>
        <v>143.78911190028711</v>
      </c>
    </row>
    <row r="12" spans="1:28" x14ac:dyDescent="0.2">
      <c r="A12" s="5"/>
      <c r="B12" s="4" t="s">
        <v>1</v>
      </c>
      <c r="C12" s="86"/>
      <c r="D12" s="89">
        <f t="shared" ref="D12:I12" si="2">D11/C11-1</f>
        <v>-0.16804546301471956</v>
      </c>
      <c r="E12" s="89">
        <f t="shared" si="2"/>
        <v>0.43815368076862771</v>
      </c>
      <c r="F12" s="89">
        <f t="shared" si="2"/>
        <v>0.2331075293934437</v>
      </c>
      <c r="G12" s="85">
        <f t="shared" si="2"/>
        <v>0.10615780965851696</v>
      </c>
      <c r="H12" s="85">
        <f t="shared" si="2"/>
        <v>7.9346957415230124E-2</v>
      </c>
      <c r="I12" s="85">
        <f t="shared" si="2"/>
        <v>7.5312037232917239E-2</v>
      </c>
      <c r="J12" s="85">
        <v>0.06</v>
      </c>
      <c r="K12" s="71">
        <v>5.5E-2</v>
      </c>
      <c r="L12" s="71">
        <v>0.05</v>
      </c>
      <c r="M12" s="71">
        <v>0.05</v>
      </c>
      <c r="N12" s="71">
        <v>4.4999999999999998E-2</v>
      </c>
      <c r="O12" s="71">
        <v>4.4999999999999998E-2</v>
      </c>
      <c r="P12" s="71">
        <v>3.5000000000000003E-2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8">
        <f>C14/C11</f>
        <v>0.21004285448108811</v>
      </c>
      <c r="D13" s="88">
        <f t="shared" ref="D13:F13" si="3">D14/D11</f>
        <v>0.17854023426127075</v>
      </c>
      <c r="E13" s="88">
        <f t="shared" si="3"/>
        <v>0.26722728334501283</v>
      </c>
      <c r="F13" s="88">
        <f t="shared" si="3"/>
        <v>0.2652050919377652</v>
      </c>
      <c r="G13" s="84">
        <f>G14/G11</f>
        <v>0.26886630893937663</v>
      </c>
      <c r="H13" s="84">
        <f t="shared" ref="H13:I13" si="4">H14/H11</f>
        <v>0.27279458430294051</v>
      </c>
      <c r="I13" s="84">
        <f t="shared" si="4"/>
        <v>0.27769034035018691</v>
      </c>
      <c r="J13" s="84">
        <v>0.27</v>
      </c>
      <c r="K13" s="84">
        <v>0.26</v>
      </c>
      <c r="L13" s="84">
        <v>0.25</v>
      </c>
      <c r="M13" s="84">
        <v>0.24</v>
      </c>
      <c r="N13" s="84">
        <v>0.23</v>
      </c>
      <c r="O13" s="84">
        <v>0.22</v>
      </c>
      <c r="P13" s="84">
        <v>0.21</v>
      </c>
      <c r="Q13" s="84">
        <v>0.2</v>
      </c>
    </row>
    <row r="14" spans="1:28" ht="17.25" customHeight="1" x14ac:dyDescent="0.2">
      <c r="A14" s="5"/>
      <c r="B14" s="4" t="s">
        <v>14</v>
      </c>
      <c r="C14" s="108">
        <v>11.273</v>
      </c>
      <c r="D14" s="108">
        <v>7.9720000000000004</v>
      </c>
      <c r="E14" s="108">
        <v>17.16</v>
      </c>
      <c r="F14" s="108">
        <v>21</v>
      </c>
      <c r="G14" s="109">
        <v>23.55</v>
      </c>
      <c r="H14" s="109">
        <v>25.79</v>
      </c>
      <c r="I14" s="109">
        <v>28.23</v>
      </c>
      <c r="J14" s="72">
        <f>J11*J13</f>
        <v>29.095092000000005</v>
      </c>
      <c r="K14" s="72">
        <f t="shared" ref="K14:Q14" si="5">K11*K13</f>
        <v>29.558458280000004</v>
      </c>
      <c r="L14" s="72">
        <f t="shared" si="5"/>
        <v>29.842674225000003</v>
      </c>
      <c r="M14" s="72">
        <f t="shared" si="5"/>
        <v>30.081415618800005</v>
      </c>
      <c r="N14" s="72">
        <f t="shared" si="5"/>
        <v>30.125284349910753</v>
      </c>
      <c r="O14" s="72">
        <f t="shared" si="5"/>
        <v>30.112186400193398</v>
      </c>
      <c r="P14" s="72">
        <f>P11*P13</f>
        <v>29.749471427645613</v>
      </c>
      <c r="Q14" s="72">
        <f t="shared" si="5"/>
        <v>28.757822380057423</v>
      </c>
    </row>
    <row r="15" spans="1:28" x14ac:dyDescent="0.2">
      <c r="A15" s="100">
        <v>0.3</v>
      </c>
      <c r="B15" s="4" t="s">
        <v>36</v>
      </c>
      <c r="C15" s="82">
        <v>7.1710000000000003</v>
      </c>
      <c r="D15" s="82">
        <v>4.702</v>
      </c>
      <c r="E15" s="82">
        <v>12.036</v>
      </c>
      <c r="F15" s="82">
        <v>14.084</v>
      </c>
      <c r="G15" s="72">
        <v>16.48</v>
      </c>
      <c r="H15" s="72">
        <v>17.850000000000001</v>
      </c>
      <c r="I15" s="72">
        <v>19.510000000000002</v>
      </c>
      <c r="J15" s="72">
        <f>J14*(1-$A$15)</f>
        <v>20.366564400000001</v>
      </c>
      <c r="K15" s="72">
        <f>K14*(1-$A$15)</f>
        <v>20.690920796</v>
      </c>
      <c r="L15" s="72">
        <f t="shared" ref="L15:Q15" si="6">L14*(1-$A$15)</f>
        <v>20.889871957500002</v>
      </c>
      <c r="M15" s="72">
        <f t="shared" si="6"/>
        <v>21.056990933160002</v>
      </c>
      <c r="N15" s="72">
        <f t="shared" si="6"/>
        <v>21.087699044937526</v>
      </c>
      <c r="O15" s="72">
        <f t="shared" si="6"/>
        <v>21.078530480135377</v>
      </c>
      <c r="P15" s="72">
        <f>P14*(1-$A$15)</f>
        <v>20.824629999351927</v>
      </c>
      <c r="Q15" s="72">
        <f t="shared" si="6"/>
        <v>20.130475666040194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0.63612170673290169</v>
      </c>
      <c r="D16" s="15">
        <f t="shared" si="7"/>
        <v>0.58981435022579021</v>
      </c>
      <c r="E16" s="15">
        <f t="shared" si="7"/>
        <v>0.70139860139860133</v>
      </c>
      <c r="F16" s="15">
        <f t="shared" si="7"/>
        <v>0.67066666666666663</v>
      </c>
      <c r="G16" s="15">
        <f t="shared" si="7"/>
        <v>0.69978768577494688</v>
      </c>
      <c r="H16" s="15">
        <f t="shared" si="7"/>
        <v>0.69212873206669256</v>
      </c>
      <c r="I16" s="15">
        <f t="shared" si="7"/>
        <v>0.69110874955720869</v>
      </c>
      <c r="J16" s="15">
        <f t="shared" si="7"/>
        <v>0.7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32.6493519294823</v>
      </c>
      <c r="H17" s="72">
        <f t="shared" ref="H17:P17" si="8">H15/H18</f>
        <v>35.541233591577978</v>
      </c>
      <c r="I17" s="72">
        <f t="shared" si="8"/>
        <v>39.041677146048805</v>
      </c>
      <c r="J17" s="72">
        <f>J15/J18</f>
        <v>40.960560458829832</v>
      </c>
      <c r="K17" s="72">
        <f t="shared" si="8"/>
        <v>41.82200533726791</v>
      </c>
      <c r="L17" s="72">
        <f t="shared" si="8"/>
        <v>42.436321612032579</v>
      </c>
      <c r="M17" s="72">
        <f t="shared" si="8"/>
        <v>42.990766015003857</v>
      </c>
      <c r="N17" s="72">
        <f t="shared" si="8"/>
        <v>43.269809931767909</v>
      </c>
      <c r="O17" s="72">
        <f t="shared" si="8"/>
        <v>43.468338664249252</v>
      </c>
      <c r="P17" s="72">
        <f t="shared" si="8"/>
        <v>43.160545494173476</v>
      </c>
      <c r="Q17" s="72"/>
    </row>
    <row r="18" spans="1:18" ht="35" thickBot="1" x14ac:dyDescent="0.25">
      <c r="A18" s="2" t="s">
        <v>35</v>
      </c>
      <c r="C18" s="107">
        <v>0.995</v>
      </c>
      <c r="D18" s="82"/>
      <c r="E18" s="82"/>
      <c r="F18" s="82"/>
      <c r="G18" s="72">
        <f>C50</f>
        <v>0.50475733899999997</v>
      </c>
      <c r="H18" s="72">
        <f>G18*$C18</f>
        <v>0.502233552305</v>
      </c>
      <c r="I18" s="72">
        <f t="shared" ref="I18:O18" si="9">H18*$C18</f>
        <v>0.49972238454347501</v>
      </c>
      <c r="J18" s="72">
        <f t="shared" si="9"/>
        <v>0.49722377262075762</v>
      </c>
      <c r="K18" s="72">
        <f t="shared" si="9"/>
        <v>0.49473765375765383</v>
      </c>
      <c r="L18" s="72">
        <f t="shared" si="9"/>
        <v>0.49226396548886553</v>
      </c>
      <c r="M18" s="72">
        <f t="shared" si="9"/>
        <v>0.48980264566142118</v>
      </c>
      <c r="N18" s="72">
        <f t="shared" si="9"/>
        <v>0.48735363243311408</v>
      </c>
      <c r="O18" s="72">
        <f t="shared" si="9"/>
        <v>0.48491686427094849</v>
      </c>
      <c r="P18" s="72">
        <f>O18*$C18</f>
        <v>0.48249227994959376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15.340592809655638</v>
      </c>
      <c r="H19" s="53">
        <f>H15/(1+$C$55)^2</f>
        <v>15.467071411092219</v>
      </c>
      <c r="I19" s="53">
        <f>I15/(1+$C$55)^3</f>
        <v>15.736642353062432</v>
      </c>
      <c r="J19" s="53">
        <f>J15/(1+$C$55)^4</f>
        <v>15.291761477541126</v>
      </c>
      <c r="K19" s="53">
        <f>K15/(1+$C$55)^5</f>
        <v>14.461205370426329</v>
      </c>
      <c r="L19" s="53">
        <f>L15/(1+$C$55)^6</f>
        <v>13.590811489494342</v>
      </c>
      <c r="M19" s="53">
        <f>M15/(1+$C$55)^7</f>
        <v>12.752368559055041</v>
      </c>
      <c r="N19" s="53">
        <f>N15/(1+$C$55)^8</f>
        <v>11.887996696563134</v>
      </c>
      <c r="O19" s="53">
        <f>O15/(1+$C$55)^9</f>
        <v>11.06126370213487</v>
      </c>
      <c r="P19" s="53">
        <f>P15/(1+$C$55)^10</f>
        <v>10.172475321003317</v>
      </c>
      <c r="Q19" s="54">
        <f>(Q15/(C55-Q12))/(1+C55)^10</f>
        <v>165.89723673622845</v>
      </c>
    </row>
    <row r="20" spans="1:18" x14ac:dyDescent="0.2">
      <c r="A20" s="2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2.726E-2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4.7014000000000014E-2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v>1.1000000000000001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7.4274000000000007E-2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7.4274000000000007E-2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7.4274000000000007E-2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v>45182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37</v>
      </c>
      <c r="C49" s="56">
        <f>C50*C51</f>
        <v>333.44269814339998</v>
      </c>
      <c r="D49" s="47">
        <f>SUM(G19:Q19)</f>
        <v>301.65942592625686</v>
      </c>
      <c r="E49" s="46"/>
    </row>
    <row r="50" spans="1:17" x14ac:dyDescent="0.2">
      <c r="A50" s="45"/>
      <c r="B50" s="46" t="s">
        <v>38</v>
      </c>
      <c r="C50" s="56">
        <f>0.504757339</f>
        <v>0.50475733899999997</v>
      </c>
      <c r="D50" s="56">
        <f>C50</f>
        <v>0.50475733899999997</v>
      </c>
      <c r="E50" s="46"/>
    </row>
    <row r="51" spans="1:17" x14ac:dyDescent="0.2">
      <c r="A51" s="45"/>
      <c r="B51" s="46" t="s">
        <v>11</v>
      </c>
      <c r="C51" s="87">
        <v>660.6</v>
      </c>
      <c r="D51" s="56">
        <f>D49/(D50)</f>
        <v>597.63257038300708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0.10536144236020939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7.4274000000000007E-2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186499.50580702565</v>
      </c>
      <c r="E57" s="46"/>
      <c r="F57" s="1" t="s">
        <v>21</v>
      </c>
      <c r="H57" s="1">
        <f>G15/(1+$B$57)</f>
        <v>14.873646209386282</v>
      </c>
      <c r="I57" s="1">
        <f>H15/(1+$B$57)^2</f>
        <v>14.539808937950447</v>
      </c>
      <c r="J57" s="1">
        <f>I15/(1+$B$57)^3</f>
        <v>14.342933611393239</v>
      </c>
      <c r="K57" s="1">
        <f>J15/(1+$B$57)^4</f>
        <v>13.513216451128686</v>
      </c>
      <c r="L57" s="1">
        <f>K15/(1+$B$57)^5</f>
        <v>12.390277017464227</v>
      </c>
      <c r="M57" s="1">
        <f>L15/(1+$B$57)^6</f>
        <v>11.290085105124824</v>
      </c>
      <c r="N57" s="1">
        <f>M15/(1+$B$57)^7</f>
        <v>10.271124355564822</v>
      </c>
      <c r="O57" s="1">
        <f>N15/(1+$B$57)^8</f>
        <v>9.283486533017463</v>
      </c>
      <c r="P57" s="1">
        <f>O15/(1+$B$57)^9</f>
        <v>8.3749550853112318</v>
      </c>
      <c r="Q57" s="1">
        <f>(Q15/(B57-Q12))/(1+B57)^10</f>
        <v>77.61997250068444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18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776.88981889512252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0.35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141.86921356315182</v>
      </c>
    </row>
    <row r="67" spans="1:5" x14ac:dyDescent="0.2">
      <c r="A67" s="25"/>
      <c r="E67" s="61"/>
    </row>
    <row r="68" spans="1:5" x14ac:dyDescent="0.2">
      <c r="A68" s="102" t="s">
        <v>41</v>
      </c>
      <c r="E68" s="103">
        <f>(E66*0.128)*-1</f>
        <v>-18.159259336083434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900.59977312219087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0.36330574193489373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5">
        <f>(E70/C51)^(1/10)-1</f>
        <v>3.1476472547633971E-2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5"/>
  <sheetViews>
    <sheetView zoomScaleNormal="100" workbookViewId="0">
      <selection activeCell="J23" sqref="J23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LVMH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Pessimistisch!C$11</f>
        <v>53.67</v>
      </c>
      <c r="D11" s="82">
        <f>Pessimistisch!D$11</f>
        <v>44.651000000000003</v>
      </c>
      <c r="E11" s="82">
        <f>Pessimistisch!E$11</f>
        <v>64.215000000000003</v>
      </c>
      <c r="F11" s="82">
        <f>Pessimistisch!F$11</f>
        <v>79.183999999999997</v>
      </c>
      <c r="G11" s="72">
        <f>Pessimistisch!G11</f>
        <v>87.59</v>
      </c>
      <c r="H11" s="72">
        <f>Pessimistisch!H11</f>
        <v>94.54</v>
      </c>
      <c r="I11" s="72">
        <f>Pessimistisch!I11</f>
        <v>101.66</v>
      </c>
      <c r="J11" s="72">
        <f>I11*(1+J12)</f>
        <v>108.7762</v>
      </c>
      <c r="K11" s="72">
        <f>J11*(1+K12)</f>
        <v>115.846653</v>
      </c>
      <c r="L11" s="72">
        <f t="shared" ref="L11:Q11" si="0">K11*(1+L12)</f>
        <v>123.37668544499999</v>
      </c>
      <c r="M11" s="72">
        <f t="shared" si="0"/>
        <v>130.7792865717</v>
      </c>
      <c r="N11" s="72">
        <f t="shared" si="0"/>
        <v>138.626043766002</v>
      </c>
      <c r="O11" s="72">
        <f t="shared" si="0"/>
        <v>146.25047617313211</v>
      </c>
      <c r="P11" s="72">
        <f t="shared" si="0"/>
        <v>153.56299998178872</v>
      </c>
      <c r="Q11" s="72">
        <f t="shared" si="0"/>
        <v>156.63425998142449</v>
      </c>
    </row>
    <row r="12" spans="1:28" x14ac:dyDescent="0.2">
      <c r="A12" s="5"/>
      <c r="B12" s="4" t="s">
        <v>1</v>
      </c>
      <c r="C12" s="86"/>
      <c r="D12" s="89">
        <f t="shared" ref="D12:I12" si="1">D11/C11-1</f>
        <v>-0.16804546301471956</v>
      </c>
      <c r="E12" s="89">
        <f t="shared" si="1"/>
        <v>0.43815368076862771</v>
      </c>
      <c r="F12" s="89">
        <f t="shared" si="1"/>
        <v>0.2331075293934437</v>
      </c>
      <c r="G12" s="85">
        <f t="shared" si="1"/>
        <v>0.10615780965851696</v>
      </c>
      <c r="H12" s="85">
        <f t="shared" si="1"/>
        <v>7.9346957415230124E-2</v>
      </c>
      <c r="I12" s="85">
        <f t="shared" si="1"/>
        <v>7.5312037232917239E-2</v>
      </c>
      <c r="J12" s="85">
        <v>7.0000000000000007E-2</v>
      </c>
      <c r="K12" s="71">
        <v>6.5000000000000002E-2</v>
      </c>
      <c r="L12" s="71">
        <v>6.5000000000000002E-2</v>
      </c>
      <c r="M12" s="71">
        <v>0.06</v>
      </c>
      <c r="N12" s="71">
        <v>0.06</v>
      </c>
      <c r="O12" s="71">
        <v>5.5E-2</v>
      </c>
      <c r="P12" s="71">
        <v>0.05</v>
      </c>
      <c r="Q12" s="12">
        <v>0.02</v>
      </c>
    </row>
    <row r="13" spans="1:28" ht="16" customHeight="1" x14ac:dyDescent="0.2">
      <c r="A13" s="5"/>
      <c r="B13" s="4" t="s">
        <v>13</v>
      </c>
      <c r="C13" s="88">
        <f>C14/C11</f>
        <v>0.21004285448108811</v>
      </c>
      <c r="D13" s="88">
        <f t="shared" ref="D13:F13" si="2">D14/D11</f>
        <v>0.17854023426127075</v>
      </c>
      <c r="E13" s="88">
        <f t="shared" si="2"/>
        <v>0.26722728334501283</v>
      </c>
      <c r="F13" s="88">
        <f t="shared" si="2"/>
        <v>0.2652050919377652</v>
      </c>
      <c r="G13" s="84">
        <f>G14/G11</f>
        <v>0.26886630893937663</v>
      </c>
      <c r="H13" s="84">
        <f t="shared" ref="H13:I13" si="3">H14/H11</f>
        <v>0.27279458430294051</v>
      </c>
      <c r="I13" s="84">
        <f t="shared" si="3"/>
        <v>0.27769034035018691</v>
      </c>
      <c r="J13" s="84">
        <v>0.28000000000000003</v>
      </c>
      <c r="K13" s="84">
        <v>0.28249999999999997</v>
      </c>
      <c r="L13" s="84">
        <v>0.28499999999999998</v>
      </c>
      <c r="M13" s="84">
        <v>0.28749999999999998</v>
      </c>
      <c r="N13" s="84">
        <v>0.28999999999999998</v>
      </c>
      <c r="O13" s="84">
        <v>0.29249999999999998</v>
      </c>
      <c r="P13" s="84">
        <v>0.29499999999999998</v>
      </c>
      <c r="Q13" s="84">
        <v>0.29499999999999998</v>
      </c>
    </row>
    <row r="14" spans="1:28" ht="17.25" customHeight="1" x14ac:dyDescent="0.2">
      <c r="A14" s="5"/>
      <c r="B14" s="4" t="s">
        <v>14</v>
      </c>
      <c r="C14" s="82">
        <f>Pessimistisch!C14</f>
        <v>11.273</v>
      </c>
      <c r="D14" s="82">
        <f>Pessimistisch!D14</f>
        <v>7.9720000000000004</v>
      </c>
      <c r="E14" s="82">
        <f>Pessimistisch!E14</f>
        <v>17.16</v>
      </c>
      <c r="F14" s="82">
        <f>Pessimistisch!F14</f>
        <v>21</v>
      </c>
      <c r="G14" s="72">
        <f>Pessimistisch!G14</f>
        <v>23.55</v>
      </c>
      <c r="H14" s="72">
        <f>Pessimistisch!H14</f>
        <v>25.79</v>
      </c>
      <c r="I14" s="72">
        <f>Pessimistisch!I14</f>
        <v>28.23</v>
      </c>
      <c r="J14" s="72">
        <f>J11*J13</f>
        <v>30.457336000000005</v>
      </c>
      <c r="K14" s="72">
        <f t="shared" ref="K14:Q14" si="4">K11*K13</f>
        <v>32.726679472499995</v>
      </c>
      <c r="L14" s="72">
        <f t="shared" si="4"/>
        <v>35.162355351824992</v>
      </c>
      <c r="M14" s="72">
        <f t="shared" si="4"/>
        <v>37.599044889363746</v>
      </c>
      <c r="N14" s="72">
        <f t="shared" si="4"/>
        <v>40.201552692140574</v>
      </c>
      <c r="O14" s="72">
        <f t="shared" si="4"/>
        <v>42.778264280641139</v>
      </c>
      <c r="P14" s="72">
        <f>P11*P13</f>
        <v>45.301084994627672</v>
      </c>
      <c r="Q14" s="72">
        <f t="shared" si="4"/>
        <v>46.20710669452022</v>
      </c>
    </row>
    <row r="15" spans="1:28" x14ac:dyDescent="0.2">
      <c r="A15" s="100">
        <v>0.25</v>
      </c>
      <c r="B15" s="4" t="s">
        <v>36</v>
      </c>
      <c r="C15" s="82">
        <f>Pessimistisch!C15</f>
        <v>7.1710000000000003</v>
      </c>
      <c r="D15" s="82">
        <f>Pessimistisch!D15</f>
        <v>4.702</v>
      </c>
      <c r="E15" s="82">
        <f>Pessimistisch!E15</f>
        <v>12.036</v>
      </c>
      <c r="F15" s="82">
        <f>Pessimistisch!F15</f>
        <v>14.084</v>
      </c>
      <c r="G15" s="72">
        <f>Pessimistisch!G15</f>
        <v>16.48</v>
      </c>
      <c r="H15" s="72">
        <f>Pessimistisch!H15</f>
        <v>17.850000000000001</v>
      </c>
      <c r="I15" s="72">
        <f>Pessimistisch!I15</f>
        <v>19.510000000000002</v>
      </c>
      <c r="J15" s="72">
        <f>J14*(1-$A$15)</f>
        <v>22.843002000000006</v>
      </c>
      <c r="K15" s="72">
        <f>K14*(1-$A$15)</f>
        <v>24.545009604374997</v>
      </c>
      <c r="L15" s="72">
        <f t="shared" ref="L15:Q15" si="5">L14*(1-$A$15)</f>
        <v>26.371766513868742</v>
      </c>
      <c r="M15" s="72">
        <f t="shared" si="5"/>
        <v>28.199283667022812</v>
      </c>
      <c r="N15" s="72">
        <f t="shared" si="5"/>
        <v>30.151164519105428</v>
      </c>
      <c r="O15" s="72">
        <f t="shared" si="5"/>
        <v>32.083698210480854</v>
      </c>
      <c r="P15" s="72">
        <f>P14*(1-$A$15)</f>
        <v>33.975813745970754</v>
      </c>
      <c r="Q15" s="72">
        <f t="shared" si="5"/>
        <v>34.655330020890162</v>
      </c>
    </row>
    <row r="16" spans="1:28" ht="35" hidden="1" thickBot="1" x14ac:dyDescent="0.25">
      <c r="A16" s="13" t="s">
        <v>5</v>
      </c>
      <c r="B16" s="14"/>
      <c r="C16" s="15">
        <f t="shared" ref="C16:J16" si="6">C15/C14</f>
        <v>0.63612170673290169</v>
      </c>
      <c r="D16" s="15">
        <f t="shared" si="6"/>
        <v>0.58981435022579021</v>
      </c>
      <c r="E16" s="15">
        <f t="shared" si="6"/>
        <v>0.70139860139860133</v>
      </c>
      <c r="F16" s="15">
        <f t="shared" si="6"/>
        <v>0.67066666666666663</v>
      </c>
      <c r="G16" s="15">
        <f t="shared" si="6"/>
        <v>0.69978768577494688</v>
      </c>
      <c r="H16" s="15">
        <f t="shared" si="6"/>
        <v>0.69212873206669256</v>
      </c>
      <c r="I16" s="15">
        <f t="shared" si="6"/>
        <v>0.69110874955720869</v>
      </c>
      <c r="J16" s="15">
        <f t="shared" si="6"/>
        <v>0.75000000000000011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32.6493519294823</v>
      </c>
      <c r="H17" s="72">
        <f t="shared" ref="H17:P17" si="7">H15/H18</f>
        <v>36.085232064918458</v>
      </c>
      <c r="I17" s="72">
        <f t="shared" si="7"/>
        <v>40.245977110075984</v>
      </c>
      <c r="J17" s="72">
        <f t="shared" si="7"/>
        <v>48.08308327584075</v>
      </c>
      <c r="K17" s="72">
        <f t="shared" si="7"/>
        <v>52.72010438074939</v>
      </c>
      <c r="L17" s="72">
        <f t="shared" si="7"/>
        <v>57.799782128108923</v>
      </c>
      <c r="M17" s="72">
        <f t="shared" si="7"/>
        <v>63.066536353530971</v>
      </c>
      <c r="N17" s="72">
        <f t="shared" si="7"/>
        <v>68.807997427064478</v>
      </c>
      <c r="O17" s="72">
        <f t="shared" si="7"/>
        <v>74.712483835412613</v>
      </c>
      <c r="P17" s="72">
        <f t="shared" si="7"/>
        <v>80.733270078559428</v>
      </c>
      <c r="Q17" s="72"/>
    </row>
    <row r="18" spans="1:18" ht="35" thickBot="1" x14ac:dyDescent="0.25">
      <c r="A18" s="2" t="s">
        <v>35</v>
      </c>
      <c r="C18" s="107">
        <v>0.98</v>
      </c>
      <c r="D18" s="82"/>
      <c r="E18" s="82"/>
      <c r="F18" s="82"/>
      <c r="G18" s="72">
        <f>C50</f>
        <v>0.50475733899999997</v>
      </c>
      <c r="H18" s="72">
        <f>G18*$C18</f>
        <v>0.49466219221999996</v>
      </c>
      <c r="I18" s="72">
        <f t="shared" ref="I18:O18" si="8">H18*$C18</f>
        <v>0.48476894837559997</v>
      </c>
      <c r="J18" s="72">
        <f t="shared" si="8"/>
        <v>0.47507356940808798</v>
      </c>
      <c r="K18" s="72">
        <f t="shared" si="8"/>
        <v>0.46557209801992622</v>
      </c>
      <c r="L18" s="72">
        <f t="shared" si="8"/>
        <v>0.4562606560595277</v>
      </c>
      <c r="M18" s="72">
        <f t="shared" si="8"/>
        <v>0.44713544293833712</v>
      </c>
      <c r="N18" s="72">
        <f t="shared" si="8"/>
        <v>0.43819273407957038</v>
      </c>
      <c r="O18" s="72">
        <f t="shared" si="8"/>
        <v>0.42942887939797897</v>
      </c>
      <c r="P18" s="72">
        <f>O18*$C18</f>
        <v>0.42084030181001936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15.340592809655638</v>
      </c>
      <c r="H19" s="53">
        <f>H15/(1+$C$55)^2</f>
        <v>15.467071411092219</v>
      </c>
      <c r="I19" s="53">
        <f>I15/(1+$C$55)^3</f>
        <v>15.736642353062432</v>
      </c>
      <c r="J19" s="53">
        <f>J15/(1+$C$55)^4</f>
        <v>17.151137086969609</v>
      </c>
      <c r="K19" s="53">
        <f>K15/(1+$C$55)^5</f>
        <v>17.154887798737942</v>
      </c>
      <c r="L19" s="53">
        <f>L15/(1+$C$55)^6</f>
        <v>17.157295557585726</v>
      </c>
      <c r="M19" s="53">
        <f>M15/(1+$C$55)^7</f>
        <v>17.077827480892118</v>
      </c>
      <c r="N19" s="53">
        <f>N15/(1+$C$55)^8</f>
        <v>16.997442131397733</v>
      </c>
      <c r="O19" s="53">
        <f>O15/(1+$C$55)^9</f>
        <v>16.836384622746344</v>
      </c>
      <c r="P19" s="53">
        <f>P15/(1+$C$55)^10</f>
        <v>16.596603485999442</v>
      </c>
      <c r="Q19" s="54">
        <f>(Q15/(C55-Q12))/(1+C55)^10</f>
        <v>311.9087510726946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90" t="s">
        <v>23</v>
      </c>
      <c r="H23" s="91"/>
      <c r="I23" s="92">
        <v>2.726E-2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3"/>
      <c r="H24" s="6"/>
      <c r="I24" s="94"/>
      <c r="J24" s="26"/>
    </row>
    <row r="25" spans="1:18" x14ac:dyDescent="0.2">
      <c r="A25" s="35"/>
      <c r="B25" s="36"/>
      <c r="C25" s="36"/>
      <c r="D25" s="38"/>
      <c r="F25" s="36"/>
      <c r="G25" s="93" t="s">
        <v>25</v>
      </c>
      <c r="H25" s="6"/>
      <c r="I25" s="95">
        <f>(I27-I23)*I29</f>
        <v>4.7014000000000014E-2</v>
      </c>
      <c r="J25" s="26"/>
    </row>
    <row r="26" spans="1:18" x14ac:dyDescent="0.2">
      <c r="A26" s="35"/>
      <c r="B26" s="36"/>
      <c r="C26" s="36"/>
      <c r="D26" s="38"/>
      <c r="F26" s="36"/>
      <c r="G26" s="93"/>
      <c r="H26" s="6"/>
      <c r="I26" s="94"/>
      <c r="J26" s="26"/>
    </row>
    <row r="27" spans="1:18" x14ac:dyDescent="0.2">
      <c r="A27" s="35"/>
      <c r="B27" s="36"/>
      <c r="C27" s="36"/>
      <c r="D27" s="38"/>
      <c r="F27" s="36"/>
      <c r="G27" s="93" t="s">
        <v>26</v>
      </c>
      <c r="H27" s="6"/>
      <c r="I27" s="96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3"/>
      <c r="H28" s="6"/>
      <c r="I28" s="94"/>
      <c r="J28" s="26"/>
    </row>
    <row r="29" spans="1:18" x14ac:dyDescent="0.2">
      <c r="A29" s="35"/>
      <c r="B29" s="36"/>
      <c r="C29" s="36"/>
      <c r="D29" s="39"/>
      <c r="F29" s="36"/>
      <c r="G29" s="93" t="s">
        <v>32</v>
      </c>
      <c r="H29" s="6"/>
      <c r="I29" s="79">
        <f>Pessimistisch!I29</f>
        <v>1.1000000000000001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3"/>
      <c r="H30" s="6"/>
      <c r="I30" s="94"/>
      <c r="J30" s="26"/>
    </row>
    <row r="31" spans="1:18" x14ac:dyDescent="0.2">
      <c r="A31" s="35"/>
      <c r="B31" s="36"/>
      <c r="C31" s="36"/>
      <c r="D31" s="37"/>
      <c r="F31" s="36"/>
      <c r="G31" s="93" t="s">
        <v>29</v>
      </c>
      <c r="H31" s="6"/>
      <c r="I31" s="96">
        <f>I23+(I27-I23)*I29</f>
        <v>7.4274000000000007E-2</v>
      </c>
      <c r="J31" s="26" t="s">
        <v>30</v>
      </c>
    </row>
    <row r="32" spans="1:18" x14ac:dyDescent="0.2">
      <c r="A32" s="25"/>
      <c r="C32" s="41"/>
      <c r="E32" s="36"/>
      <c r="F32" s="36"/>
      <c r="G32" s="93"/>
      <c r="H32" s="6"/>
      <c r="I32" s="6"/>
      <c r="J32" s="26"/>
    </row>
    <row r="33" spans="1:10" x14ac:dyDescent="0.2">
      <c r="A33" s="25"/>
      <c r="G33" s="97" t="s">
        <v>31</v>
      </c>
      <c r="H33" s="98"/>
      <c r="I33" s="99">
        <f>I31</f>
        <v>7.4274000000000007E-2</v>
      </c>
      <c r="J33" s="26"/>
    </row>
    <row r="34" spans="1:10" x14ac:dyDescent="0.2">
      <c r="A34" s="35" t="s">
        <v>6</v>
      </c>
      <c r="B34" s="36"/>
      <c r="C34" s="42"/>
      <c r="D34" s="27"/>
      <c r="G34" s="93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7.4274000000000007E-2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45182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tr">
        <f>Pessimistisch!B49</f>
        <v>Marktkapitalisierung, Mrd.</v>
      </c>
      <c r="C49" s="56">
        <f>C50*C51</f>
        <v>333.44269814339998</v>
      </c>
      <c r="D49" s="47">
        <f>SUM(G19:Q19)</f>
        <v>477.42463581083382</v>
      </c>
      <c r="E49" s="46"/>
    </row>
    <row r="50" spans="1:17" x14ac:dyDescent="0.2">
      <c r="A50" s="45"/>
      <c r="B50" s="46" t="str">
        <f>Pessimistisch!B50</f>
        <v>Anzahl Aktien gesamt, Mrd.</v>
      </c>
      <c r="C50" s="56">
        <f>Pessimistisch!C50</f>
        <v>0.50475733899999997</v>
      </c>
      <c r="D50" s="56">
        <f>C50</f>
        <v>0.50475733899999997</v>
      </c>
      <c r="E50" s="46"/>
    </row>
    <row r="51" spans="1:17" x14ac:dyDescent="0.2">
      <c r="A51" s="45"/>
      <c r="B51" s="46" t="s">
        <v>11</v>
      </c>
      <c r="C51" s="56">
        <f>Pessimistisch!C51</f>
        <v>660.6</v>
      </c>
      <c r="D51" s="56">
        <f>D49/(D50)</f>
        <v>945.8498151937398</v>
      </c>
      <c r="E51" s="46"/>
    </row>
    <row r="52" spans="1:17" x14ac:dyDescent="0.2">
      <c r="A52" s="45"/>
      <c r="B52" s="46" t="s">
        <v>2</v>
      </c>
      <c r="C52" s="46"/>
      <c r="D52" s="57">
        <f>IF(C51/D51-1&gt;0,0,C51/D51-1)*-1</f>
        <v>0.30158045242659548</v>
      </c>
      <c r="E52" s="46"/>
    </row>
    <row r="53" spans="1:17" x14ac:dyDescent="0.2">
      <c r="A53" s="45"/>
      <c r="B53" s="46" t="s">
        <v>12</v>
      </c>
      <c r="C53" s="46"/>
      <c r="D53" s="58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7.4274000000000007E-2</v>
      </c>
      <c r="D55" s="49"/>
      <c r="E55" s="46"/>
      <c r="J55" s="70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3">
        <v>0.108</v>
      </c>
      <c r="C57" s="50"/>
      <c r="D57" s="74">
        <f>SUM(H57:Q57)*1000</f>
        <v>268857.68611065194</v>
      </c>
      <c r="E57" s="46"/>
      <c r="F57" s="1" t="s">
        <v>21</v>
      </c>
      <c r="H57" s="1">
        <f>G15/(1+$B$57)</f>
        <v>14.873646209386282</v>
      </c>
      <c r="I57" s="1">
        <f>H15/(1+$B$57)^2</f>
        <v>14.539808937950447</v>
      </c>
      <c r="J57" s="1">
        <f>I15/(1+$B$57)^3</f>
        <v>14.342933611393239</v>
      </c>
      <c r="K57" s="1">
        <f>J15/(1+$B$57)^4</f>
        <v>15.156332916884379</v>
      </c>
      <c r="L57" s="1">
        <f>K15/(1+$B$57)^5</f>
        <v>14.698208523098646</v>
      </c>
      <c r="M57" s="1">
        <f>L15/(1+$B$57)^6</f>
        <v>14.252815379615717</v>
      </c>
      <c r="N57" s="1">
        <f>M15/(1+$B$57)^7</f>
        <v>13.754973357837388</v>
      </c>
      <c r="O57" s="1">
        <f>N15/(1+$B$57)^8</f>
        <v>13.273516905349901</v>
      </c>
      <c r="P57" s="1">
        <f>O15/(1+$B$57)^9</f>
        <v>12.747545742654246</v>
      </c>
      <c r="Q57" s="1">
        <f>(Q15/(B57-Q12))/(1+B57)^10</f>
        <v>141.21790452648168</v>
      </c>
    </row>
    <row r="58" spans="1:17" ht="17" thickBot="1" x14ac:dyDescent="0.25">
      <c r="A58" s="22"/>
      <c r="C58" s="65"/>
      <c r="D58" s="66"/>
    </row>
    <row r="59" spans="1:17" x14ac:dyDescent="0.2">
      <c r="A59" s="59" t="str">
        <f>"KGV Multiple in "&amp;P10</f>
        <v>KGV Multiple in 2032</v>
      </c>
      <c r="B59" s="23"/>
      <c r="C59" s="67">
        <v>24</v>
      </c>
      <c r="D59" s="23"/>
      <c r="E59" s="24"/>
    </row>
    <row r="60" spans="1:17" x14ac:dyDescent="0.2">
      <c r="A60" s="25" t="s">
        <v>19</v>
      </c>
      <c r="C60" s="68"/>
      <c r="E60" s="26"/>
    </row>
    <row r="61" spans="1:17" x14ac:dyDescent="0.2">
      <c r="A61" s="25"/>
      <c r="C61" s="68"/>
      <c r="E61" s="26"/>
    </row>
    <row r="62" spans="1:17" x14ac:dyDescent="0.2">
      <c r="A62" s="25" t="s">
        <v>34</v>
      </c>
      <c r="C62" s="68"/>
      <c r="E62" s="60">
        <f>P17*C59</f>
        <v>1937.5984818854263</v>
      </c>
    </row>
    <row r="63" spans="1:17" x14ac:dyDescent="0.2">
      <c r="A63" s="25"/>
      <c r="C63" s="68"/>
      <c r="E63" s="26"/>
    </row>
    <row r="64" spans="1:17" x14ac:dyDescent="0.2">
      <c r="A64" s="25" t="s">
        <v>15</v>
      </c>
      <c r="C64" s="69">
        <v>0.4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221.96152743349731</v>
      </c>
    </row>
    <row r="67" spans="1:5" x14ac:dyDescent="0.2">
      <c r="A67" s="25"/>
      <c r="E67" s="61"/>
    </row>
    <row r="68" spans="1:5" x14ac:dyDescent="0.2">
      <c r="A68" s="102" t="str">
        <f>Pessimistisch!A68</f>
        <v>Quellensteuer Frankreich (12,8 %)</v>
      </c>
      <c r="E68" s="103">
        <f>(E66*0.128)*-1</f>
        <v>-28.411075511487656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"Gesamtwert "&amp;P10</f>
        <v>Gesamtwert 2032</v>
      </c>
      <c r="E70" s="60">
        <f>SUM(E62:E68)</f>
        <v>2131.1489338074362</v>
      </c>
    </row>
    <row r="71" spans="1:5" x14ac:dyDescent="0.2">
      <c r="A71" s="25"/>
      <c r="E71" s="60"/>
    </row>
    <row r="72" spans="1:5" x14ac:dyDescent="0.2">
      <c r="A72" s="25" t="str">
        <f>"Steigerung Gesamt bis "&amp;P10&amp;" in Prozent"</f>
        <v>Steigerung Gesamt bis 2032 in Prozent</v>
      </c>
      <c r="E72" s="62">
        <f>E70/C51-1</f>
        <v>2.2260807354033245</v>
      </c>
    </row>
    <row r="73" spans="1:5" x14ac:dyDescent="0.2">
      <c r="A73" s="25"/>
      <c r="E73" s="26"/>
    </row>
    <row r="74" spans="1:5" ht="17" thickBot="1" x14ac:dyDescent="0.25">
      <c r="A74" s="63" t="str">
        <f>"Renditeerwartung bis "&amp;P10&amp;" pro Jahr"</f>
        <v>Renditeerwartung bis 2032 pro Jahr</v>
      </c>
      <c r="B74" s="64"/>
      <c r="C74" s="64"/>
      <c r="D74" s="64"/>
      <c r="E74" s="104">
        <f>(E70/C51)^(1/10)-1</f>
        <v>0.12426197773072345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5"/>
  <sheetViews>
    <sheetView tabSelected="1" zoomScaleNormal="100" workbookViewId="0">
      <selection activeCell="D59" sqref="D59"/>
    </sheetView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LVMH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2019</v>
      </c>
      <c r="D10" s="11">
        <f>Pessimistisch!D10</f>
        <v>2020</v>
      </c>
      <c r="E10" s="11">
        <f>Pessimistisch!E10</f>
        <v>2021</v>
      </c>
      <c r="F10" s="11">
        <f>Pessimistisch!F10</f>
        <v>2022</v>
      </c>
      <c r="G10" s="55">
        <f>Pessimistisch!G10</f>
        <v>2023</v>
      </c>
      <c r="H10" s="55">
        <f>Pessimistisch!H10</f>
        <v>2024</v>
      </c>
      <c r="I10" s="55">
        <f>Pessimistisch!I10</f>
        <v>2025</v>
      </c>
      <c r="J10" s="55">
        <f>Pessimistisch!J10</f>
        <v>2026</v>
      </c>
      <c r="K10" s="55">
        <f>Pessimistisch!K10</f>
        <v>2027</v>
      </c>
      <c r="L10" s="55">
        <f>Pessimistisch!L10</f>
        <v>2028</v>
      </c>
      <c r="M10" s="55">
        <f>Pessimistisch!M10</f>
        <v>2029</v>
      </c>
      <c r="N10" s="55">
        <f>Pessimistisch!N10</f>
        <v>2030</v>
      </c>
      <c r="O10" s="55">
        <f>Pessimistisch!O10</f>
        <v>2031</v>
      </c>
      <c r="P10" s="55">
        <f>Pessimistisch!P10</f>
        <v>2032</v>
      </c>
      <c r="Q10" s="55" t="str">
        <f>Pessimistisch!Q10</f>
        <v>2033ff.</v>
      </c>
    </row>
    <row r="11" spans="1:28" x14ac:dyDescent="0.2">
      <c r="A11" s="5"/>
      <c r="B11" s="4" t="s">
        <v>4</v>
      </c>
      <c r="C11" s="82">
        <f>Pessimistisch!C11</f>
        <v>53.67</v>
      </c>
      <c r="D11" s="82">
        <f>Pessimistisch!D11</f>
        <v>44.651000000000003</v>
      </c>
      <c r="E11" s="82">
        <f>Pessimistisch!E11</f>
        <v>64.215000000000003</v>
      </c>
      <c r="F11" s="82">
        <f>Pessimistisch!F11</f>
        <v>79.183999999999997</v>
      </c>
      <c r="G11" s="72">
        <f>F11*(1+G12)</f>
        <v>82.747279999999989</v>
      </c>
      <c r="H11" s="72">
        <f t="shared" ref="H11:J11" si="0">G11*(1+H12)</f>
        <v>86.47090759999999</v>
      </c>
      <c r="I11" s="72">
        <f t="shared" si="0"/>
        <v>90.36209844199999</v>
      </c>
      <c r="J11" s="72">
        <f t="shared" si="0"/>
        <v>94.428392871889983</v>
      </c>
      <c r="K11" s="72">
        <f>J11*(1+K12)</f>
        <v>98.677670551125019</v>
      </c>
      <c r="L11" s="72">
        <f t="shared" ref="L11:Q11" si="1">K11*(1+L12)</f>
        <v>103.11816572592564</v>
      </c>
      <c r="M11" s="72">
        <f t="shared" si="1"/>
        <v>107.75848318359228</v>
      </c>
      <c r="N11" s="72">
        <f t="shared" si="1"/>
        <v>112.60761492685393</v>
      </c>
      <c r="O11" s="72">
        <f t="shared" si="1"/>
        <v>117.67495759856234</v>
      </c>
      <c r="P11" s="72">
        <f t="shared" si="1"/>
        <v>122.97033069049765</v>
      </c>
      <c r="Q11" s="72">
        <f t="shared" si="1"/>
        <v>125.42973730430761</v>
      </c>
    </row>
    <row r="12" spans="1:28" x14ac:dyDescent="0.2">
      <c r="A12" s="5"/>
      <c r="B12" s="4" t="s">
        <v>1</v>
      </c>
      <c r="C12" s="86"/>
      <c r="D12" s="89">
        <f>D11/C11-1</f>
        <v>-0.16804546301471956</v>
      </c>
      <c r="E12" s="89">
        <f>E11/D11-1</f>
        <v>0.43815368076862771</v>
      </c>
      <c r="F12" s="89">
        <f>F11/E11-1</f>
        <v>0.2331075293934437</v>
      </c>
      <c r="G12" s="85">
        <v>4.4999999999999998E-2</v>
      </c>
      <c r="H12" s="85">
        <f>G12</f>
        <v>4.4999999999999998E-2</v>
      </c>
      <c r="I12" s="85">
        <f t="shared" ref="I12:O12" si="2">H12</f>
        <v>4.4999999999999998E-2</v>
      </c>
      <c r="J12" s="85">
        <f t="shared" si="2"/>
        <v>4.4999999999999998E-2</v>
      </c>
      <c r="K12" s="85">
        <f t="shared" si="2"/>
        <v>4.4999999999999998E-2</v>
      </c>
      <c r="L12" s="85">
        <f t="shared" si="2"/>
        <v>4.4999999999999998E-2</v>
      </c>
      <c r="M12" s="85">
        <f t="shared" si="2"/>
        <v>4.4999999999999998E-2</v>
      </c>
      <c r="N12" s="85">
        <f t="shared" si="2"/>
        <v>4.4999999999999998E-2</v>
      </c>
      <c r="O12" s="85">
        <f t="shared" si="2"/>
        <v>4.4999999999999998E-2</v>
      </c>
      <c r="P12" s="85">
        <f>O12</f>
        <v>4.4999999999999998E-2</v>
      </c>
      <c r="Q12" s="85">
        <f>Optimistisch!Q12</f>
        <v>0.02</v>
      </c>
    </row>
    <row r="13" spans="1:28" ht="16" customHeight="1" x14ac:dyDescent="0.2">
      <c r="A13" s="5"/>
      <c r="B13" s="4" t="s">
        <v>13</v>
      </c>
      <c r="C13" s="88">
        <f>C14/C11</f>
        <v>0.21004285448108811</v>
      </c>
      <c r="D13" s="88">
        <f t="shared" ref="D13:F13" si="3">D14/D11</f>
        <v>0.17854023426127075</v>
      </c>
      <c r="E13" s="88">
        <f t="shared" si="3"/>
        <v>0.26722728334501283</v>
      </c>
      <c r="F13" s="88">
        <f t="shared" si="3"/>
        <v>0.2652050919377652</v>
      </c>
      <c r="G13" s="84">
        <f>(Optimistisch!G13+Pessimistisch!G13)/2</f>
        <v>0.26886630893937663</v>
      </c>
      <c r="H13" s="84">
        <f>(Optimistisch!H13+Pessimistisch!H13)/2</f>
        <v>0.27279458430294051</v>
      </c>
      <c r="I13" s="84">
        <f>(Optimistisch!I13+Pessimistisch!I13)/2</f>
        <v>0.27769034035018691</v>
      </c>
      <c r="J13" s="84">
        <f>(Optimistisch!J13+Pessimistisch!J13)/2</f>
        <v>0.27500000000000002</v>
      </c>
      <c r="K13" s="84">
        <f>(Optimistisch!K13+Pessimistisch!K13)/2</f>
        <v>0.27124999999999999</v>
      </c>
      <c r="L13" s="84">
        <f>(Optimistisch!L13+Pessimistisch!L13)/2</f>
        <v>0.26749999999999996</v>
      </c>
      <c r="M13" s="84">
        <f>(Optimistisch!M13+Pessimistisch!M13)/2</f>
        <v>0.26374999999999998</v>
      </c>
      <c r="N13" s="84">
        <f>(Optimistisch!N13+Pessimistisch!N13)/2</f>
        <v>0.26</v>
      </c>
      <c r="O13" s="84">
        <f>(Optimistisch!O13+Pessimistisch!O13)/2</f>
        <v>0.25624999999999998</v>
      </c>
      <c r="P13" s="84">
        <f>(Optimistisch!P13+Pessimistisch!P13)/2</f>
        <v>0.2525</v>
      </c>
      <c r="Q13" s="84">
        <f>(Optimistisch!Q13+Pessimistisch!Q13)/2</f>
        <v>0.2475</v>
      </c>
    </row>
    <row r="14" spans="1:28" ht="17.25" customHeight="1" x14ac:dyDescent="0.2">
      <c r="A14" s="5"/>
      <c r="B14" s="4" t="s">
        <v>14</v>
      </c>
      <c r="C14" s="82">
        <f>Pessimistisch!C14</f>
        <v>11.273</v>
      </c>
      <c r="D14" s="82">
        <f>Pessimistisch!D14</f>
        <v>7.9720000000000004</v>
      </c>
      <c r="E14" s="82">
        <f>Pessimistisch!E14</f>
        <v>17.16</v>
      </c>
      <c r="F14" s="82">
        <f>Pessimistisch!F14</f>
        <v>21</v>
      </c>
      <c r="G14" s="72">
        <f>G11*G13</f>
        <v>22.247955748373098</v>
      </c>
      <c r="H14" s="72">
        <f t="shared" ref="H14:J14" si="4">H11*H13</f>
        <v>23.588795293039976</v>
      </c>
      <c r="I14" s="72">
        <f t="shared" si="4"/>
        <v>25.092681871116071</v>
      </c>
      <c r="J14" s="72">
        <f t="shared" si="4"/>
        <v>25.967808039769746</v>
      </c>
      <c r="K14" s="72">
        <f t="shared" ref="K14:Q14" si="5">K11*K13</f>
        <v>26.766318136992659</v>
      </c>
      <c r="L14" s="72">
        <f t="shared" si="5"/>
        <v>27.584109331685102</v>
      </c>
      <c r="M14" s="72">
        <f t="shared" si="5"/>
        <v>28.421299939672462</v>
      </c>
      <c r="N14" s="72">
        <f t="shared" si="5"/>
        <v>29.277979880982024</v>
      </c>
      <c r="O14" s="72">
        <f>O11*O13</f>
        <v>30.1542078846316</v>
      </c>
      <c r="P14" s="72">
        <f t="shared" si="5"/>
        <v>31.050008499350657</v>
      </c>
      <c r="Q14" s="72">
        <f t="shared" si="5"/>
        <v>31.043859982816134</v>
      </c>
    </row>
    <row r="15" spans="1:28" x14ac:dyDescent="0.2">
      <c r="A15" s="100">
        <v>0.27500000000000002</v>
      </c>
      <c r="B15" s="4" t="s">
        <v>36</v>
      </c>
      <c r="C15" s="82">
        <f>Pessimistisch!C15</f>
        <v>7.1710000000000003</v>
      </c>
      <c r="D15" s="82">
        <f>Pessimistisch!D15</f>
        <v>4.702</v>
      </c>
      <c r="E15" s="82">
        <f>Pessimistisch!E15</f>
        <v>12.036</v>
      </c>
      <c r="F15" s="82">
        <f>Pessimistisch!F15</f>
        <v>14.084</v>
      </c>
      <c r="G15" s="72">
        <f>Pessimistisch!G15</f>
        <v>16.48</v>
      </c>
      <c r="H15" s="72">
        <f>Pessimistisch!H15</f>
        <v>17.850000000000001</v>
      </c>
      <c r="I15" s="72">
        <f>Pessimistisch!I15</f>
        <v>19.510000000000002</v>
      </c>
      <c r="J15" s="72">
        <f>J14*(1-$A$15)</f>
        <v>18.826660828833067</v>
      </c>
      <c r="K15" s="72">
        <f>K14*(1-$A$15)</f>
        <v>19.405580649319678</v>
      </c>
      <c r="L15" s="72">
        <f t="shared" ref="L15:Q15" si="6">L14*(1-$A$15)</f>
        <v>19.998479265471698</v>
      </c>
      <c r="M15" s="72">
        <f t="shared" si="6"/>
        <v>20.605442456262534</v>
      </c>
      <c r="N15" s="72">
        <f t="shared" si="6"/>
        <v>21.226535413711968</v>
      </c>
      <c r="O15" s="72">
        <f>O14*(1-$A$15)</f>
        <v>21.861800716357909</v>
      </c>
      <c r="P15" s="72">
        <f t="shared" si="6"/>
        <v>22.511256162029227</v>
      </c>
      <c r="Q15" s="72">
        <f t="shared" si="6"/>
        <v>22.506798487541698</v>
      </c>
    </row>
    <row r="16" spans="1:28" ht="22" hidden="1" thickBot="1" x14ac:dyDescent="0.25">
      <c r="A16" s="13" t="s">
        <v>5</v>
      </c>
      <c r="B16" s="14"/>
      <c r="C16" s="15">
        <f t="shared" ref="C16:J16" si="7">C15/C14</f>
        <v>0.63612170673290169</v>
      </c>
      <c r="D16" s="15">
        <f t="shared" si="7"/>
        <v>0.58981435022579021</v>
      </c>
      <c r="E16" s="15">
        <f t="shared" si="7"/>
        <v>0.70139860139860133</v>
      </c>
      <c r="F16" s="15">
        <f t="shared" si="7"/>
        <v>0.67066666666666663</v>
      </c>
      <c r="G16" s="15">
        <f t="shared" si="7"/>
        <v>0.74074221408882102</v>
      </c>
      <c r="H16" s="15">
        <f t="shared" si="7"/>
        <v>0.75671520220732758</v>
      </c>
      <c r="I16" s="15">
        <f t="shared" si="7"/>
        <v>0.77751752882412151</v>
      </c>
      <c r="J16" s="15">
        <f t="shared" si="7"/>
        <v>0.72499999999999998</v>
      </c>
    </row>
    <row r="17" spans="1:18" ht="17" x14ac:dyDescent="0.2">
      <c r="A17" s="2" t="s">
        <v>33</v>
      </c>
      <c r="C17" s="82"/>
      <c r="D17" s="82"/>
      <c r="E17" s="82"/>
      <c r="F17" s="82"/>
      <c r="G17" s="72">
        <f>G15/G18</f>
        <v>32.6493519294823</v>
      </c>
      <c r="H17" s="72">
        <f t="shared" ref="H17:O17" si="8">H15/H18</f>
        <v>35.541233591577978</v>
      </c>
      <c r="I17" s="72">
        <f t="shared" si="8"/>
        <v>39.041677146048805</v>
      </c>
      <c r="J17" s="72">
        <f t="shared" si="8"/>
        <v>37.863557346829701</v>
      </c>
      <c r="K17" s="72">
        <f t="shared" si="8"/>
        <v>39.223981643462011</v>
      </c>
      <c r="L17" s="72">
        <f t="shared" si="8"/>
        <v>40.625519370712581</v>
      </c>
      <c r="M17" s="72">
        <f t="shared" si="8"/>
        <v>42.068867203518863</v>
      </c>
      <c r="N17" s="72">
        <f t="shared" si="8"/>
        <v>43.554688015227143</v>
      </c>
      <c r="O17" s="72">
        <f t="shared" si="8"/>
        <v>45.083605721211981</v>
      </c>
      <c r="P17" s="72">
        <f>P15/P18</f>
        <v>46.656199689621957</v>
      </c>
      <c r="Q17" s="72"/>
    </row>
    <row r="18" spans="1:18" ht="35" thickBot="1" x14ac:dyDescent="0.25">
      <c r="A18" s="2" t="s">
        <v>35</v>
      </c>
      <c r="C18" s="82"/>
      <c r="D18" s="82"/>
      <c r="E18" s="82"/>
      <c r="F18" s="82"/>
      <c r="G18" s="72">
        <f>C50</f>
        <v>0.50475733899999997</v>
      </c>
      <c r="H18" s="72">
        <f>G18*Pessimistisch!$C18</f>
        <v>0.502233552305</v>
      </c>
      <c r="I18" s="72">
        <f>H18*Pessimistisch!$C18</f>
        <v>0.49972238454347501</v>
      </c>
      <c r="J18" s="72">
        <f>I18*Pessimistisch!$C18</f>
        <v>0.49722377262075762</v>
      </c>
      <c r="K18" s="72">
        <f>J18*Pessimistisch!$C18</f>
        <v>0.49473765375765383</v>
      </c>
      <c r="L18" s="72">
        <f>K18*Pessimistisch!$C18</f>
        <v>0.49226396548886553</v>
      </c>
      <c r="M18" s="72">
        <f>L18*Pessimistisch!$C18</f>
        <v>0.48980264566142118</v>
      </c>
      <c r="N18" s="72">
        <f>M18*Pessimistisch!$C18</f>
        <v>0.48735363243311408</v>
      </c>
      <c r="O18" s="72">
        <f>N18*Pessimistisch!$C18</f>
        <v>0.48491686427094849</v>
      </c>
      <c r="P18" s="72">
        <f>O18*Pessimistisch!$C18</f>
        <v>0.48249227994959376</v>
      </c>
      <c r="Q18" s="72"/>
    </row>
    <row r="19" spans="1:18" ht="17" thickBot="1" x14ac:dyDescent="0.25">
      <c r="A19" s="2"/>
      <c r="E19" s="51" t="s">
        <v>10</v>
      </c>
      <c r="F19" s="52"/>
      <c r="G19" s="53">
        <f>G15/(1+$C$55)</f>
        <v>15.340592809655638</v>
      </c>
      <c r="H19" s="53">
        <f>H15/(1+$C$55)^2</f>
        <v>15.467071411092219</v>
      </c>
      <c r="I19" s="53">
        <f>I15/(1+$C$55)^3</f>
        <v>15.736642353062432</v>
      </c>
      <c r="J19" s="53">
        <f>J15/(1+$C$55)^4</f>
        <v>14.135560674783321</v>
      </c>
      <c r="K19" s="53">
        <f>K15/(1+$C$55)^5</f>
        <v>13.562861211881611</v>
      </c>
      <c r="L19" s="53">
        <f>L15/(1+$C$55)^6</f>
        <v>13.010877344128742</v>
      </c>
      <c r="M19" s="53">
        <f>M15/(1+$C$55)^7</f>
        <v>12.478905336415361</v>
      </c>
      <c r="N19" s="53">
        <f>N15/(1+$C$55)^8</f>
        <v>11.966264424580126</v>
      </c>
      <c r="O19" s="53">
        <f>O15/(1+$C$55)^9</f>
        <v>11.47229608606011</v>
      </c>
      <c r="P19" s="53">
        <f>P15/(1+$C$55)^10</f>
        <v>10.996363333233417</v>
      </c>
      <c r="Q19" s="54">
        <f>(Q15/(C55-Q12))/(1+C55)^10</f>
        <v>202.56818800058349</v>
      </c>
    </row>
    <row r="20" spans="1:18" x14ac:dyDescent="0.2">
      <c r="A20" s="2"/>
      <c r="C20" s="75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101"/>
      <c r="K21" s="101"/>
      <c r="L21" s="101"/>
      <c r="M21" s="101"/>
      <c r="N21" s="101"/>
      <c r="O21" s="101"/>
      <c r="P21" s="101"/>
      <c r="Q21" s="101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9" t="s">
        <v>23</v>
      </c>
      <c r="H23" s="23"/>
      <c r="I23" s="78">
        <v>2.726E-2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9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80">
        <f>(I27-I23)*I29</f>
        <v>4.7014000000000014E-2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9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81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9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9">
        <f>Pessimistisch!I29</f>
        <v>1.1000000000000001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9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81">
        <f>I23+(I27-I23)*I29</f>
        <v>7.4274000000000007E-2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6" t="s">
        <v>31</v>
      </c>
      <c r="H33" s="22"/>
      <c r="I33" s="77">
        <f>I31</f>
        <v>7.4274000000000007E-2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7.4274000000000007E-2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3">
        <f>Pessimistisch!C48</f>
        <v>45182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tr">
        <f>Pessimistisch!B49</f>
        <v>Marktkapitalisierung, Mrd.</v>
      </c>
      <c r="C49" s="56">
        <f>C50*C51</f>
        <v>333.44269814339998</v>
      </c>
      <c r="D49" s="47">
        <f>SUM(G19:Q19)</f>
        <v>336.73562298547648</v>
      </c>
      <c r="E49" s="46"/>
    </row>
    <row r="50" spans="1:20" x14ac:dyDescent="0.2">
      <c r="A50" s="45"/>
      <c r="B50" s="46" t="str">
        <f>Pessimistisch!B50</f>
        <v>Anzahl Aktien gesamt, Mrd.</v>
      </c>
      <c r="C50" s="56">
        <f>Pessimistisch!C50</f>
        <v>0.50475733899999997</v>
      </c>
      <c r="D50" s="56">
        <f>C50</f>
        <v>0.50475733899999997</v>
      </c>
      <c r="E50" s="46"/>
    </row>
    <row r="51" spans="1:20" x14ac:dyDescent="0.2">
      <c r="A51" s="45"/>
      <c r="B51" s="46" t="s">
        <v>11</v>
      </c>
      <c r="C51" s="56">
        <f>Pessimistisch!C51</f>
        <v>660.6</v>
      </c>
      <c r="D51" s="87">
        <f>D49/(D50)</f>
        <v>667.12377803678953</v>
      </c>
      <c r="E51" s="46"/>
    </row>
    <row r="52" spans="1:20" x14ac:dyDescent="0.2">
      <c r="A52" s="45"/>
      <c r="B52" s="46" t="s">
        <v>2</v>
      </c>
      <c r="C52" s="46"/>
      <c r="D52" s="57">
        <f>IF(C51/D51-1&gt;0,0,C51/D51-1)*-1</f>
        <v>9.7789619431459807E-3</v>
      </c>
      <c r="E52" s="46"/>
    </row>
    <row r="53" spans="1:20" x14ac:dyDescent="0.2">
      <c r="A53" s="45"/>
      <c r="B53" s="46" t="s">
        <v>12</v>
      </c>
      <c r="C53" s="46"/>
      <c r="D53" s="58">
        <f>IF(C51/D51-1&lt;0,0,C51/D51-1)</f>
        <v>0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17</v>
      </c>
      <c r="B55" s="46"/>
      <c r="C55" s="50">
        <f>D46</f>
        <v>7.4274000000000007E-2</v>
      </c>
      <c r="D55" s="49"/>
      <c r="E55" s="46"/>
      <c r="J55" s="70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20</v>
      </c>
      <c r="B57" s="73">
        <v>0.108</v>
      </c>
      <c r="C57" s="50"/>
      <c r="D57" s="74">
        <f>SUM(H57:Q57)*1000</f>
        <v>198471.96448405762</v>
      </c>
      <c r="E57" s="46"/>
      <c r="F57" s="1" t="s">
        <v>21</v>
      </c>
      <c r="H57" s="1">
        <f>G15/(1+$B$57)</f>
        <v>14.873646209386282</v>
      </c>
      <c r="I57" s="1">
        <f>H15/(1+$B$57)^2</f>
        <v>14.539808937950447</v>
      </c>
      <c r="J57" s="1">
        <f>I15/(1+$B$57)^3</f>
        <v>14.342933611393239</v>
      </c>
      <c r="K57" s="1">
        <f>J15/(1+$B$57)^4</f>
        <v>12.491490358187608</v>
      </c>
      <c r="L57" s="1">
        <f>K15/(1+$B$57)^5</f>
        <v>11.62058094467678</v>
      </c>
      <c r="M57" s="1">
        <f>L15/(1+$B$57)^6</f>
        <v>10.808325361668251</v>
      </c>
      <c r="N57" s="1">
        <f>M15/(1+$B$57)^7</f>
        <v>10.050869212106688</v>
      </c>
      <c r="O57" s="1">
        <f>N15/(1+$B$57)^8</f>
        <v>9.3446067888151205</v>
      </c>
      <c r="P57" s="1">
        <f>O15/(1+$B$57)^9</f>
        <v>8.6861652550242905</v>
      </c>
      <c r="Q57" s="1">
        <f>(Q15/(B57-Q12))/(1+B57)^10</f>
        <v>91.713537804848926</v>
      </c>
    </row>
    <row r="58" spans="1:20" ht="17" thickBot="1" x14ac:dyDescent="0.25">
      <c r="A58" s="22"/>
      <c r="C58" s="65"/>
      <c r="D58" s="66"/>
    </row>
    <row r="59" spans="1:20" x14ac:dyDescent="0.2">
      <c r="A59" s="59" t="str">
        <f>Pessimistisch!A59</f>
        <v>KGV Multiple in 2032</v>
      </c>
      <c r="B59" s="23"/>
      <c r="C59" s="67">
        <v>34</v>
      </c>
      <c r="D59" s="23"/>
      <c r="E59" s="24"/>
    </row>
    <row r="60" spans="1:20" x14ac:dyDescent="0.2">
      <c r="A60" s="25" t="s">
        <v>19</v>
      </c>
      <c r="C60" s="68"/>
      <c r="D60" s="68"/>
      <c r="E60" s="26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1:20" x14ac:dyDescent="0.2">
      <c r="A61" s="25"/>
      <c r="C61" s="68"/>
      <c r="E61" s="26"/>
    </row>
    <row r="62" spans="1:20" x14ac:dyDescent="0.2">
      <c r="A62" s="25" t="s">
        <v>34</v>
      </c>
      <c r="C62" s="68"/>
      <c r="E62" s="60">
        <f>P17*C59</f>
        <v>1586.3107894471466</v>
      </c>
    </row>
    <row r="63" spans="1:20" x14ac:dyDescent="0.2">
      <c r="A63" s="25"/>
      <c r="C63" s="68"/>
      <c r="E63" s="26"/>
    </row>
    <row r="64" spans="1:20" x14ac:dyDescent="0.2">
      <c r="A64" s="25" t="s">
        <v>15</v>
      </c>
      <c r="C64" s="69">
        <v>0.375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60">
        <f>SUM(G17:Q17)*C64</f>
        <v>150.865755621635</v>
      </c>
    </row>
    <row r="67" spans="1:5" x14ac:dyDescent="0.2">
      <c r="A67" s="25"/>
      <c r="E67" s="61"/>
    </row>
    <row r="68" spans="1:5" x14ac:dyDescent="0.2">
      <c r="A68" s="102" t="str">
        <f>Pessimistisch!A68</f>
        <v>Quellensteuer Frankreich (12,8 %)</v>
      </c>
      <c r="E68" s="103">
        <f>(E66*0.1128)*-1</f>
        <v>-17.017657234120428</v>
      </c>
    </row>
    <row r="69" spans="1:5" x14ac:dyDescent="0.2">
      <c r="A69" s="25"/>
      <c r="C69" s="41"/>
      <c r="D69" s="41"/>
      <c r="E69" s="62"/>
    </row>
    <row r="70" spans="1:5" x14ac:dyDescent="0.2">
      <c r="A70" s="25" t="str">
        <f>Pessimistisch!A70</f>
        <v>Gesamtwert 2032</v>
      </c>
      <c r="E70" s="60">
        <f>SUM(E62:E68)</f>
        <v>1720.1588878346613</v>
      </c>
    </row>
    <row r="71" spans="1:5" x14ac:dyDescent="0.2">
      <c r="A71" s="25"/>
      <c r="E71" s="60"/>
    </row>
    <row r="72" spans="1:5" x14ac:dyDescent="0.2">
      <c r="A72" s="25" t="str">
        <f>Pessimistisch!A72</f>
        <v>Steigerung Gesamt bis 2032 in Prozent</v>
      </c>
      <c r="E72" s="62">
        <f>E70/C51-1</f>
        <v>1.6039341323564353</v>
      </c>
    </row>
    <row r="73" spans="1:5" x14ac:dyDescent="0.2">
      <c r="A73" s="25"/>
      <c r="E73" s="106"/>
    </row>
    <row r="74" spans="1:5" ht="17" thickBot="1" x14ac:dyDescent="0.25">
      <c r="A74" s="63" t="str">
        <f>Pessimistisch!A74</f>
        <v>Renditeerwartung bis 2032 pro Jahr</v>
      </c>
      <c r="B74" s="64"/>
      <c r="C74" s="64"/>
      <c r="D74" s="64"/>
      <c r="E74" s="105">
        <f>(E70/C51)^(1/10)-1</f>
        <v>0.10043146402741732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2023-10-13T18:37:29Z</dcterms:modified>
</cp:coreProperties>
</file>