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lmanreichel/Documents/Wir lieben Aktien/Analysen/ORLY/"/>
    </mc:Choice>
  </mc:AlternateContent>
  <xr:revisionPtr revIDLastSave="0" documentId="13_ncr:1_{9B3EF9D7-6D46-FB49-8D5C-ACE2A2F5902C}" xr6:coauthVersionLast="47" xr6:coauthVersionMax="47" xr10:uidLastSave="{00000000-0000-0000-0000-000000000000}"/>
  <bookViews>
    <workbookView xWindow="34520" yWindow="0" windowWidth="34280" windowHeight="28800" xr2:uid="{00000000-000D-0000-FFFF-FFFF00000000}"/>
  </bookViews>
  <sheets>
    <sheet name="Pessimistisch" sheetId="34" r:id="rId1"/>
    <sheet name="Optimistisch" sheetId="37" r:id="rId2"/>
    <sheet name="Wachstum für faire Bewertung" sheetId="3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0" i="34" l="1"/>
  <c r="H18" i="35"/>
  <c r="I18" i="35" s="1"/>
  <c r="J18" i="35" s="1"/>
  <c r="K18" i="35" s="1"/>
  <c r="L18" i="35" s="1"/>
  <c r="M18" i="35" s="1"/>
  <c r="N18" i="35" s="1"/>
  <c r="O18" i="35" s="1"/>
  <c r="P18" i="35" s="1"/>
  <c r="H13" i="35"/>
  <c r="I13" i="35"/>
  <c r="J13" i="35"/>
  <c r="K13" i="35"/>
  <c r="L13" i="35"/>
  <c r="M13" i="35"/>
  <c r="N13" i="35"/>
  <c r="O13" i="35"/>
  <c r="P13" i="35"/>
  <c r="Q13" i="35"/>
  <c r="G13" i="35"/>
  <c r="G18" i="34"/>
  <c r="H18" i="34" s="1"/>
  <c r="I18" i="34" s="1"/>
  <c r="J18" i="34" s="1"/>
  <c r="K18" i="34" s="1"/>
  <c r="L18" i="34" s="1"/>
  <c r="M18" i="34" s="1"/>
  <c r="N18" i="34" s="1"/>
  <c r="O18" i="34" s="1"/>
  <c r="P18" i="34" s="1"/>
  <c r="H10" i="35"/>
  <c r="I10" i="35"/>
  <c r="J10" i="35"/>
  <c r="K10" i="35"/>
  <c r="L10" i="35"/>
  <c r="M10" i="35"/>
  <c r="N10" i="35"/>
  <c r="O10" i="35"/>
  <c r="P10" i="35"/>
  <c r="Q10" i="35"/>
  <c r="G10" i="35"/>
  <c r="D10" i="35"/>
  <c r="E10" i="35"/>
  <c r="F10" i="35"/>
  <c r="C10" i="35"/>
  <c r="C10" i="37"/>
  <c r="H10" i="37"/>
  <c r="I10" i="37"/>
  <c r="J10" i="37"/>
  <c r="K10" i="37"/>
  <c r="L10" i="37"/>
  <c r="M10" i="37"/>
  <c r="N10" i="37"/>
  <c r="O10" i="37"/>
  <c r="P10" i="37"/>
  <c r="Q10" i="37"/>
  <c r="G10" i="37"/>
  <c r="F10" i="37"/>
  <c r="D10" i="37"/>
  <c r="E10" i="37"/>
  <c r="B6" i="37"/>
  <c r="B6" i="35"/>
  <c r="B4" i="35"/>
  <c r="B4" i="37"/>
  <c r="B50" i="35"/>
  <c r="B49" i="35"/>
  <c r="B50" i="37"/>
  <c r="B49" i="37"/>
  <c r="A74" i="35"/>
  <c r="A72" i="35"/>
  <c r="A70" i="35"/>
  <c r="C51" i="35"/>
  <c r="C50" i="35"/>
  <c r="C51" i="37"/>
  <c r="C50" i="37"/>
  <c r="C48" i="35"/>
  <c r="C48" i="37"/>
  <c r="F15" i="35"/>
  <c r="E15" i="35"/>
  <c r="D15" i="35"/>
  <c r="C15" i="35"/>
  <c r="D14" i="35" l="1"/>
  <c r="E14" i="35"/>
  <c r="F14" i="35"/>
  <c r="C14" i="35"/>
  <c r="D11" i="35"/>
  <c r="E11" i="35"/>
  <c r="F11" i="35"/>
  <c r="C11" i="35"/>
  <c r="H15" i="37"/>
  <c r="I15" i="37"/>
  <c r="G15" i="37"/>
  <c r="D15" i="37"/>
  <c r="E15" i="37"/>
  <c r="F15" i="37"/>
  <c r="C15" i="37"/>
  <c r="H14" i="37"/>
  <c r="H16" i="37" s="1"/>
  <c r="I14" i="37"/>
  <c r="I16" i="37" s="1"/>
  <c r="G14" i="37"/>
  <c r="D14" i="37"/>
  <c r="D13" i="37" s="1"/>
  <c r="E14" i="37"/>
  <c r="F14" i="37"/>
  <c r="C14" i="37"/>
  <c r="I11" i="37"/>
  <c r="J11" i="37" s="1"/>
  <c r="H11" i="37"/>
  <c r="G11" i="37"/>
  <c r="F11" i="37"/>
  <c r="F12" i="37" s="1"/>
  <c r="D11" i="37"/>
  <c r="E11" i="37"/>
  <c r="E12" i="37" s="1"/>
  <c r="C11" i="37"/>
  <c r="Q12" i="35"/>
  <c r="J57" i="37"/>
  <c r="I57" i="37"/>
  <c r="H57" i="37"/>
  <c r="D50" i="37"/>
  <c r="C49" i="37"/>
  <c r="I31" i="37"/>
  <c r="I33" i="37" s="1"/>
  <c r="D46" i="37" s="1"/>
  <c r="C55" i="37" s="1"/>
  <c r="I25" i="37"/>
  <c r="G18" i="37"/>
  <c r="H18" i="37" s="1"/>
  <c r="I18" i="37" s="1"/>
  <c r="J18" i="37" s="1"/>
  <c r="G16" i="37"/>
  <c r="D16" i="37"/>
  <c r="I13" i="37"/>
  <c r="G12" i="37"/>
  <c r="H13" i="34"/>
  <c r="I13" i="34"/>
  <c r="G13" i="34"/>
  <c r="J11" i="34"/>
  <c r="K18" i="37" l="1"/>
  <c r="L18" i="37" s="1"/>
  <c r="M18" i="37" s="1"/>
  <c r="N18" i="37" s="1"/>
  <c r="O18" i="37" s="1"/>
  <c r="P18" i="37" s="1"/>
  <c r="C16" i="37"/>
  <c r="E16" i="37"/>
  <c r="F16" i="37"/>
  <c r="H13" i="37"/>
  <c r="C13" i="37"/>
  <c r="G13" i="37"/>
  <c r="E13" i="37"/>
  <c r="H12" i="37"/>
  <c r="D12" i="37"/>
  <c r="I12" i="37"/>
  <c r="F13" i="37"/>
  <c r="G17" i="37"/>
  <c r="K11" i="37"/>
  <c r="L11" i="37" s="1"/>
  <c r="J14" i="37"/>
  <c r="G19" i="37"/>
  <c r="I19" i="37"/>
  <c r="H19" i="37"/>
  <c r="A72" i="37"/>
  <c r="A74" i="37"/>
  <c r="A59" i="37"/>
  <c r="A70" i="37"/>
  <c r="H17" i="37"/>
  <c r="H12" i="35"/>
  <c r="I12" i="35" s="1"/>
  <c r="J12" i="35" s="1"/>
  <c r="K12" i="35" s="1"/>
  <c r="L12" i="35" s="1"/>
  <c r="M12" i="35" s="1"/>
  <c r="N12" i="35" s="1"/>
  <c r="O12" i="35" s="1"/>
  <c r="P12" i="35" s="1"/>
  <c r="D13" i="35"/>
  <c r="E13" i="35"/>
  <c r="F13" i="35"/>
  <c r="C13" i="35"/>
  <c r="D10" i="34"/>
  <c r="E10" i="34" s="1"/>
  <c r="F10" i="34" s="1"/>
  <c r="G10" i="34" s="1"/>
  <c r="H10" i="34" s="1"/>
  <c r="I10" i="34" s="1"/>
  <c r="J10" i="34" s="1"/>
  <c r="K10" i="34" s="1"/>
  <c r="L10" i="34" s="1"/>
  <c r="M10" i="34" s="1"/>
  <c r="N10" i="34" s="1"/>
  <c r="O10" i="34" s="1"/>
  <c r="P10" i="34" s="1"/>
  <c r="C49" i="34"/>
  <c r="D50" i="34"/>
  <c r="I31" i="34"/>
  <c r="D13" i="34"/>
  <c r="E13" i="34"/>
  <c r="F13" i="34"/>
  <c r="C13" i="34"/>
  <c r="G11" i="35"/>
  <c r="K14" i="37" l="1"/>
  <c r="K15" i="37" s="1"/>
  <c r="K19" i="37" s="1"/>
  <c r="J15" i="37"/>
  <c r="K57" i="37" s="1"/>
  <c r="Q10" i="34"/>
  <c r="A74" i="34"/>
  <c r="A72" i="34"/>
  <c r="A70" i="34"/>
  <c r="A59" i="34"/>
  <c r="A59" i="35" s="1"/>
  <c r="L14" i="37"/>
  <c r="L15" i="37" s="1"/>
  <c r="M11" i="37"/>
  <c r="I17" i="37"/>
  <c r="L57" i="37" l="1"/>
  <c r="J19" i="37"/>
  <c r="J16" i="37"/>
  <c r="J17" i="37"/>
  <c r="M14" i="37"/>
  <c r="M15" i="37" s="1"/>
  <c r="N11" i="37"/>
  <c r="L19" i="37"/>
  <c r="M57" i="37"/>
  <c r="H11" i="35"/>
  <c r="M19" i="37" l="1"/>
  <c r="N57" i="37"/>
  <c r="N14" i="37"/>
  <c r="N15" i="37" s="1"/>
  <c r="O11" i="37"/>
  <c r="K17" i="37"/>
  <c r="H12" i="34"/>
  <c r="I12" i="34"/>
  <c r="P11" i="37" l="1"/>
  <c r="O14" i="37"/>
  <c r="O15" i="37" s="1"/>
  <c r="O57" i="37"/>
  <c r="N19" i="37"/>
  <c r="L17" i="37"/>
  <c r="I11" i="35"/>
  <c r="D50" i="35"/>
  <c r="C49" i="35"/>
  <c r="I31" i="35"/>
  <c r="I33" i="35" s="1"/>
  <c r="D46" i="35" s="1"/>
  <c r="C55" i="35" s="1"/>
  <c r="I25" i="35"/>
  <c r="G18" i="35"/>
  <c r="F16" i="35"/>
  <c r="E16" i="35"/>
  <c r="D16" i="35"/>
  <c r="C16" i="35"/>
  <c r="F12" i="35"/>
  <c r="E12" i="35"/>
  <c r="D12" i="35"/>
  <c r="O19" i="37" l="1"/>
  <c r="P57" i="37"/>
  <c r="Q11" i="37"/>
  <c r="Q14" i="37" s="1"/>
  <c r="Q15" i="37" s="1"/>
  <c r="P14" i="37"/>
  <c r="P15" i="37" s="1"/>
  <c r="M17" i="37"/>
  <c r="J11" i="35"/>
  <c r="K11" i="35" s="1"/>
  <c r="L11" i="35" s="1"/>
  <c r="P17" i="37" l="1"/>
  <c r="P19" i="37"/>
  <c r="D41" i="37"/>
  <c r="D40" i="37"/>
  <c r="Q19" i="37"/>
  <c r="D49" i="37" s="1"/>
  <c r="D44" i="37"/>
  <c r="Q57" i="37"/>
  <c r="D57" i="37" s="1"/>
  <c r="D42" i="37"/>
  <c r="N17" i="37"/>
  <c r="D43" i="37"/>
  <c r="D51" i="37" l="1"/>
  <c r="D53" i="37"/>
  <c r="D52" i="37"/>
  <c r="O17" i="37"/>
  <c r="E62" i="37" l="1"/>
  <c r="E66" i="37"/>
  <c r="E68" i="37" s="1"/>
  <c r="E70" i="37" l="1"/>
  <c r="G12" i="34"/>
  <c r="E12" i="34"/>
  <c r="F12" i="34"/>
  <c r="D12" i="34"/>
  <c r="E74" i="37" l="1"/>
  <c r="E72" i="37"/>
  <c r="C16" i="34"/>
  <c r="H16" i="34"/>
  <c r="G16" i="34"/>
  <c r="F16" i="34"/>
  <c r="E16" i="34"/>
  <c r="D16" i="34"/>
  <c r="G17" i="34" l="1"/>
  <c r="H17" i="34"/>
  <c r="I33" i="34" l="1"/>
  <c r="D46" i="34" s="1"/>
  <c r="C55" i="34" s="1"/>
  <c r="G19" i="34" s="1"/>
  <c r="I25" i="34"/>
  <c r="H19" i="34" l="1"/>
  <c r="H57" i="34"/>
  <c r="I57" i="34"/>
  <c r="H14" i="35" l="1"/>
  <c r="H15" i="35" s="1"/>
  <c r="G14" i="35"/>
  <c r="G15" i="35" s="1"/>
  <c r="G17" i="35" s="1"/>
  <c r="I14" i="35" l="1"/>
  <c r="I15" i="35" s="1"/>
  <c r="I57" i="35" l="1"/>
  <c r="H19" i="35"/>
  <c r="H17" i="35"/>
  <c r="H16" i="35"/>
  <c r="H57" i="35"/>
  <c r="G19" i="35"/>
  <c r="G16" i="35"/>
  <c r="J14" i="35"/>
  <c r="J15" i="35" s="1"/>
  <c r="J57" i="35" l="1"/>
  <c r="I19" i="35"/>
  <c r="I17" i="35"/>
  <c r="I16" i="35"/>
  <c r="J16" i="35"/>
  <c r="K14" i="35"/>
  <c r="K15" i="35" s="1"/>
  <c r="K57" i="35" l="1"/>
  <c r="J19" i="35"/>
  <c r="J17" i="35"/>
  <c r="K17" i="35"/>
  <c r="K19" i="35"/>
  <c r="L57" i="35"/>
  <c r="M11" i="35"/>
  <c r="L14" i="35"/>
  <c r="L15" i="35" s="1"/>
  <c r="M57" i="35" l="1"/>
  <c r="L17" i="35"/>
  <c r="L19" i="35"/>
  <c r="M14" i="35"/>
  <c r="M15" i="35" s="1"/>
  <c r="N11" i="35"/>
  <c r="N14" i="35" l="1"/>
  <c r="N15" i="35" s="1"/>
  <c r="O11" i="35"/>
  <c r="M19" i="35"/>
  <c r="N57" i="35"/>
  <c r="M17" i="35"/>
  <c r="P11" i="35" l="1"/>
  <c r="O14" i="35"/>
  <c r="O15" i="35" s="1"/>
  <c r="N17" i="35"/>
  <c r="N19" i="35"/>
  <c r="O57" i="35"/>
  <c r="O17" i="35" l="1"/>
  <c r="O19" i="35"/>
  <c r="P57" i="35"/>
  <c r="Q11" i="35"/>
  <c r="Q14" i="35" s="1"/>
  <c r="Q15" i="35" s="1"/>
  <c r="P14" i="35"/>
  <c r="P15" i="35" s="1"/>
  <c r="D42" i="35" l="1"/>
  <c r="D40" i="35"/>
  <c r="D41" i="35"/>
  <c r="P19" i="35"/>
  <c r="P17" i="35"/>
  <c r="Q19" i="35"/>
  <c r="Q57" i="35"/>
  <c r="D57" i="35" s="1"/>
  <c r="D43" i="35"/>
  <c r="D44" i="35"/>
  <c r="D49" i="35" l="1"/>
  <c r="D51" i="35" s="1"/>
  <c r="D53" i="35" s="1"/>
  <c r="E62" i="35"/>
  <c r="E66" i="35"/>
  <c r="E68" i="35" s="1"/>
  <c r="E70" i="35" l="1"/>
  <c r="E74" i="35" s="1"/>
  <c r="D52" i="35" l="1"/>
  <c r="E72" i="35"/>
  <c r="I19" i="34" l="1"/>
  <c r="I17" i="34"/>
  <c r="J57" i="34"/>
  <c r="I16" i="34"/>
  <c r="J14" i="34"/>
  <c r="J15" i="34" s="1"/>
  <c r="K11" i="34" l="1"/>
  <c r="J19" i="34" l="1"/>
  <c r="K57" i="34"/>
  <c r="J17" i="34"/>
  <c r="J16" i="34"/>
  <c r="L11" i="34"/>
  <c r="K14" i="34"/>
  <c r="K15" i="34" s="1"/>
  <c r="K17" i="34" l="1"/>
  <c r="L57" i="34"/>
  <c r="K19" i="34"/>
  <c r="M11" i="34"/>
  <c r="L14" i="34"/>
  <c r="L15" i="34" s="1"/>
  <c r="L19" i="34" l="1"/>
  <c r="L17" i="34"/>
  <c r="M57" i="34"/>
  <c r="M14" i="34"/>
  <c r="M15" i="34" s="1"/>
  <c r="N11" i="34"/>
  <c r="N14" i="34" l="1"/>
  <c r="N15" i="34" s="1"/>
  <c r="O11" i="34"/>
  <c r="M19" i="34"/>
  <c r="N57" i="34"/>
  <c r="M17" i="34"/>
  <c r="O14" i="34" l="1"/>
  <c r="O15" i="34" s="1"/>
  <c r="P11" i="34"/>
  <c r="O57" i="34"/>
  <c r="N17" i="34"/>
  <c r="N19" i="34"/>
  <c r="Q11" i="34" l="1"/>
  <c r="Q14" i="34" s="1"/>
  <c r="Q15" i="34" s="1"/>
  <c r="P14" i="34"/>
  <c r="P15" i="34" s="1"/>
  <c r="P57" i="34"/>
  <c r="O17" i="34"/>
  <c r="O19" i="34"/>
  <c r="D44" i="34" l="1"/>
  <c r="D41" i="34"/>
  <c r="D43" i="34"/>
  <c r="D42" i="34"/>
  <c r="P17" i="34"/>
  <c r="E62" i="34" s="1"/>
  <c r="P19" i="34"/>
  <c r="D40" i="34"/>
  <c r="Q19" i="34"/>
  <c r="Q57" i="34"/>
  <c r="D57" i="34" s="1"/>
  <c r="D49" i="34" l="1"/>
  <c r="D51" i="34" s="1"/>
  <c r="D52" i="34" s="1"/>
  <c r="E66" i="34"/>
  <c r="E68" i="34" s="1"/>
  <c r="D53" i="34" l="1"/>
  <c r="E70" i="34"/>
  <c r="E72" i="34" s="1"/>
  <c r="E74" i="34" l="1"/>
</calcChain>
</file>

<file path=xl/sharedStrings.xml><?xml version="1.0" encoding="utf-8"?>
<sst xmlns="http://schemas.openxmlformats.org/spreadsheetml/2006/main" count="118" uniqueCount="42">
  <si>
    <t>Bewertung</t>
  </si>
  <si>
    <t>Umsatz-Wachstum, %</t>
  </si>
  <si>
    <t>Unterbewertung</t>
  </si>
  <si>
    <t>Fairer Wert</t>
  </si>
  <si>
    <t>Umsatz</t>
  </si>
  <si>
    <t>Verhältnis EBIT zu Konzerngewinn:</t>
  </si>
  <si>
    <t>EK Quote:</t>
  </si>
  <si>
    <t>Vereinfachter WACC:</t>
  </si>
  <si>
    <t>Schätzungen »</t>
  </si>
  <si>
    <t>Discounted Net-Profit Modell</t>
  </si>
  <si>
    <t>Abgezinster Gewinn:</t>
  </si>
  <si>
    <t xml:space="preserve">Kurs pro Aktie </t>
  </si>
  <si>
    <t>Überbewertung</t>
  </si>
  <si>
    <t>EBIT Marge, %</t>
  </si>
  <si>
    <t>EBIT</t>
  </si>
  <si>
    <t xml:space="preserve">Ausschüttungsquote </t>
  </si>
  <si>
    <t xml:space="preserve">Ausgeschüttete Gewinne </t>
  </si>
  <si>
    <t>Eigenkapitalzins</t>
  </si>
  <si>
    <t>EK-Zins</t>
  </si>
  <si>
    <t xml:space="preserve">Umsatzmultiple </t>
  </si>
  <si>
    <t>Nullzinsmarkterwartung:</t>
  </si>
  <si>
    <t>Abgezinster Gewinn in Mrd. USD: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</si>
  <si>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</si>
  <si>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</si>
  <si>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</si>
  <si>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</si>
  <si>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</si>
  <si>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</si>
  <si>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</si>
  <si>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</si>
  <si>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</si>
  <si>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>Keine Rundung</t>
  </si>
  <si>
    <t>Beta Faktor:</t>
  </si>
  <si>
    <t>Gewinn je Aktie</t>
  </si>
  <si>
    <t>Gewinn je Aktie multipliziert mit fiktivem KGV</t>
  </si>
  <si>
    <t>Anzahl der Aktien in Mio. diluted (geschätzt)</t>
  </si>
  <si>
    <t>Gewinn (abzgl. Steuern, Zinsen)</t>
  </si>
  <si>
    <t>Quellensteuer USA (15 %)</t>
  </si>
  <si>
    <t>Marktkapitalisierung, Mrd.</t>
  </si>
  <si>
    <t>Anzahl Aktien gesamt, Mrd.</t>
  </si>
  <si>
    <t>Alle Angaben in Mrd.</t>
  </si>
  <si>
    <t>Annahmen für O'Reilly Automotive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</si>
</sst>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2"/>
      <color theme="7" tint="0.5999938962981048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/>
      <right style="medium">
        <color theme="1"/>
      </right>
      <top/>
      <bottom/>
      <diagonal/>
    </border>
  </borders>
  <cellStyleXfs count="11">
    <xf numFmtId="0" fontId="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8" fillId="2" borderId="0" xfId="0" applyFont="1" applyFill="1"/>
    <xf numFmtId="0" fontId="0" fillId="3" borderId="0" xfId="0" applyFill="1"/>
    <xf numFmtId="0" fontId="6" fillId="3" borderId="0" xfId="0" applyFont="1" applyFill="1" applyAlignment="1">
      <alignment vertical="center" wrapText="1"/>
    </xf>
    <xf numFmtId="0" fontId="10" fillId="2" borderId="0" xfId="0" applyFont="1" applyFill="1"/>
    <xf numFmtId="9" fontId="10" fillId="2" borderId="0" xfId="1" applyFont="1" applyFill="1"/>
    <xf numFmtId="0" fontId="0" fillId="4" borderId="0" xfId="0" applyFill="1"/>
    <xf numFmtId="0" fontId="6" fillId="4" borderId="0" xfId="0" applyFont="1" applyFill="1"/>
    <xf numFmtId="0" fontId="5" fillId="4" borderId="0" xfId="0" applyFont="1" applyFill="1"/>
    <xf numFmtId="0" fontId="6" fillId="5" borderId="0" xfId="0" applyFont="1" applyFill="1"/>
    <xf numFmtId="165" fontId="4" fillId="7" borderId="0" xfId="1" applyNumberFormat="1" applyFont="1" applyFill="1"/>
    <xf numFmtId="0" fontId="0" fillId="2" borderId="1" xfId="0" applyFill="1" applyBorder="1" applyAlignment="1">
      <alignment wrapText="1"/>
    </xf>
    <xf numFmtId="0" fontId="9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0" fontId="6" fillId="6" borderId="0" xfId="0" applyFont="1" applyFill="1" applyAlignment="1">
      <alignment horizontal="right"/>
    </xf>
    <xf numFmtId="0" fontId="8" fillId="6" borderId="0" xfId="0" applyFont="1" applyFill="1"/>
    <xf numFmtId="0" fontId="11" fillId="6" borderId="0" xfId="0" applyFont="1" applyFill="1"/>
    <xf numFmtId="4" fontId="6" fillId="6" borderId="0" xfId="0" applyNumberFormat="1" applyFont="1" applyFill="1"/>
    <xf numFmtId="0" fontId="6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0" fontId="0" fillId="2" borderId="0" xfId="0" applyNumberFormat="1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2" fillId="2" borderId="0" xfId="0" applyFont="1" applyFill="1"/>
    <xf numFmtId="4" fontId="6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/>
    <xf numFmtId="3" fontId="0" fillId="2" borderId="0" xfId="0" applyNumberFormat="1" applyFill="1"/>
    <xf numFmtId="165" fontId="4" fillId="2" borderId="0" xfId="1" applyNumberFormat="1" applyFont="1" applyFill="1" applyBorder="1"/>
    <xf numFmtId="3" fontId="6" fillId="2" borderId="0" xfId="0" applyNumberFormat="1" applyFont="1" applyFill="1"/>
    <xf numFmtId="165" fontId="6" fillId="2" borderId="0" xfId="1" applyNumberFormat="1" applyFont="1" applyFill="1" applyBorder="1"/>
    <xf numFmtId="9" fontId="0" fillId="2" borderId="0" xfId="1" applyFont="1" applyFill="1" applyBorder="1"/>
    <xf numFmtId="9" fontId="0" fillId="2" borderId="0" xfId="0" applyNumberFormat="1" applyFill="1"/>
    <xf numFmtId="9" fontId="6" fillId="2" borderId="0" xfId="0" applyNumberFormat="1" applyFont="1" applyFill="1"/>
    <xf numFmtId="10" fontId="6" fillId="2" borderId="10" xfId="0" applyNumberFormat="1" applyFont="1" applyFill="1" applyBorder="1"/>
    <xf numFmtId="0" fontId="6" fillId="8" borderId="0" xfId="0" applyFont="1" applyFill="1" applyAlignment="1">
      <alignment vertical="center" wrapText="1"/>
    </xf>
    <xf numFmtId="0" fontId="0" fillId="8" borderId="0" xfId="0" applyFill="1"/>
    <xf numFmtId="4" fontId="10" fillId="8" borderId="0" xfId="0" applyNumberFormat="1" applyFont="1" applyFill="1"/>
    <xf numFmtId="0" fontId="6" fillId="8" borderId="0" xfId="0" applyFont="1" applyFill="1"/>
    <xf numFmtId="1" fontId="4" fillId="8" borderId="0" xfId="1" applyNumberFormat="1" applyFont="1" applyFill="1"/>
    <xf numFmtId="10" fontId="6" fillId="8" borderId="0" xfId="1" applyNumberFormat="1" applyFont="1" applyFill="1"/>
    <xf numFmtId="0" fontId="0" fillId="2" borderId="1" xfId="0" applyFill="1" applyBorder="1"/>
    <xf numFmtId="0" fontId="10" fillId="2" borderId="2" xfId="0" applyFont="1" applyFill="1" applyBorder="1"/>
    <xf numFmtId="2" fontId="8" fillId="2" borderId="2" xfId="0" applyNumberFormat="1" applyFont="1" applyFill="1" applyBorder="1"/>
    <xf numFmtId="2" fontId="8" fillId="2" borderId="3" xfId="0" applyNumberFormat="1" applyFont="1" applyFill="1" applyBorder="1"/>
    <xf numFmtId="0" fontId="11" fillId="7" borderId="0" xfId="0" applyFont="1" applyFill="1" applyAlignment="1">
      <alignment horizontal="right" vertical="center"/>
    </xf>
    <xf numFmtId="4" fontId="0" fillId="8" borderId="0" xfId="0" applyNumberFormat="1" applyFill="1"/>
    <xf numFmtId="9" fontId="0" fillId="9" borderId="0" xfId="1" applyFont="1" applyFill="1"/>
    <xf numFmtId="9" fontId="6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7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6" fillId="2" borderId="0" xfId="1" applyNumberFormat="1" applyFont="1" applyFill="1"/>
    <xf numFmtId="1" fontId="4" fillId="2" borderId="0" xfId="1" applyNumberFormat="1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9" fontId="0" fillId="2" borderId="0" xfId="1" applyFont="1" applyFill="1"/>
    <xf numFmtId="165" fontId="0" fillId="7" borderId="0" xfId="1" applyNumberFormat="1" applyFont="1" applyFill="1"/>
    <xf numFmtId="4" fontId="0" fillId="7" borderId="0" xfId="0" applyNumberFormat="1" applyFill="1"/>
    <xf numFmtId="10" fontId="0" fillId="8" borderId="0" xfId="0" applyNumberFormat="1" applyFill="1"/>
    <xf numFmtId="4" fontId="4" fillId="8" borderId="0" xfId="1" applyNumberFormat="1" applyFont="1" applyFill="1"/>
    <xf numFmtId="0" fontId="0" fillId="2" borderId="0" xfId="0" quotePrefix="1" applyFill="1"/>
    <xf numFmtId="0" fontId="6" fillId="2" borderId="7" xfId="0" applyFont="1" applyFill="1" applyBorder="1"/>
    <xf numFmtId="10" fontId="6" fillId="2" borderId="0" xfId="0" applyNumberFormat="1" applyFont="1" applyFill="1"/>
    <xf numFmtId="10" fontId="0" fillId="2" borderId="5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Alignment="1">
      <alignment horizontal="right"/>
    </xf>
    <xf numFmtId="4" fontId="10" fillId="5" borderId="0" xfId="0" applyNumberFormat="1" applyFont="1" applyFill="1"/>
    <xf numFmtId="164" fontId="11" fillId="6" borderId="0" xfId="0" applyNumberFormat="1" applyFont="1" applyFill="1"/>
    <xf numFmtId="10" fontId="0" fillId="7" borderId="0" xfId="1" applyNumberFormat="1" applyFont="1" applyFill="1"/>
    <xf numFmtId="165" fontId="10" fillId="7" borderId="0" xfId="1" applyNumberFormat="1" applyFont="1" applyFill="1"/>
    <xf numFmtId="9" fontId="10" fillId="5" borderId="0" xfId="1" applyFont="1" applyFill="1"/>
    <xf numFmtId="2" fontId="0" fillId="8" borderId="0" xfId="0" applyNumberFormat="1" applyFill="1"/>
    <xf numFmtId="10" fontId="10" fillId="5" borderId="0" xfId="1" applyNumberFormat="1" applyFont="1" applyFill="1"/>
    <xf numFmtId="165" fontId="10" fillId="5" borderId="0" xfId="1" applyNumberFormat="1" applyFont="1" applyFill="1"/>
    <xf numFmtId="0" fontId="10" fillId="2" borderId="4" xfId="0" applyFont="1" applyFill="1" applyBorder="1"/>
    <xf numFmtId="0" fontId="10" fillId="2" borderId="5" xfId="0" applyFont="1" applyFill="1" applyBorder="1"/>
    <xf numFmtId="10" fontId="10" fillId="2" borderId="5" xfId="0" applyNumberFormat="1" applyFont="1" applyFill="1" applyBorder="1" applyAlignment="1">
      <alignment horizontal="right"/>
    </xf>
    <xf numFmtId="0" fontId="10" fillId="2" borderId="7" xfId="0" applyFont="1" applyFill="1" applyBorder="1"/>
    <xf numFmtId="0" fontId="10" fillId="2" borderId="0" xfId="0" applyFont="1" applyFill="1" applyAlignment="1">
      <alignment horizontal="right"/>
    </xf>
    <xf numFmtId="10" fontId="10" fillId="2" borderId="0" xfId="1" applyNumberFormat="1" applyFont="1" applyFill="1" applyBorder="1" applyAlignment="1">
      <alignment horizontal="right"/>
    </xf>
    <xf numFmtId="10" fontId="10" fillId="2" borderId="0" xfId="0" applyNumberFormat="1" applyFont="1" applyFill="1" applyAlignment="1">
      <alignment horizontal="right"/>
    </xf>
    <xf numFmtId="0" fontId="11" fillId="2" borderId="7" xfId="0" applyFont="1" applyFill="1" applyBorder="1"/>
    <xf numFmtId="0" fontId="11" fillId="2" borderId="0" xfId="0" applyFont="1" applyFill="1"/>
    <xf numFmtId="10" fontId="11" fillId="2" borderId="0" xfId="0" applyNumberFormat="1" applyFont="1" applyFill="1"/>
    <xf numFmtId="9" fontId="10" fillId="6" borderId="0" xfId="1" applyFont="1" applyFill="1"/>
    <xf numFmtId="10" fontId="0" fillId="2" borderId="0" xfId="1" applyNumberFormat="1" applyFont="1" applyFill="1"/>
    <xf numFmtId="10" fontId="0" fillId="2" borderId="7" xfId="0" applyNumberFormat="1" applyFill="1" applyBorder="1"/>
    <xf numFmtId="4" fontId="13" fillId="2" borderId="8" xfId="0" quotePrefix="1" applyNumberFormat="1" applyFont="1" applyFill="1" applyBorder="1"/>
    <xf numFmtId="10" fontId="0" fillId="10" borderId="12" xfId="1" applyNumberFormat="1" applyFont="1" applyFill="1" applyBorder="1"/>
    <xf numFmtId="10" fontId="0" fillId="10" borderId="13" xfId="1" applyNumberFormat="1" applyFont="1" applyFill="1" applyBorder="1"/>
    <xf numFmtId="0" fontId="0" fillId="2" borderId="14" xfId="0" applyFill="1" applyBorder="1"/>
    <xf numFmtId="4" fontId="14" fillId="5" borderId="0" xfId="0" applyNumberFormat="1" applyFont="1" applyFill="1"/>
  </cellXfs>
  <cellStyles count="11">
    <cellStyle name="Prozent" xfId="1" builtinId="5"/>
    <cellStyle name="Prozent 2" xfId="2" xr:uid="{00000000-0005-0000-0000-000001000000}"/>
    <cellStyle name="Prozent 3" xfId="4" xr:uid="{00000000-0005-0000-0000-000002000000}"/>
    <cellStyle name="Prozent 3 2" xfId="8" xr:uid="{ACDD9188-69D6-4028-9709-96C6465716DF}"/>
    <cellStyle name="Prozent 4" xfId="6" xr:uid="{DE5E001C-AEE3-45AD-B913-D01465EAAE5D}"/>
    <cellStyle name="Prozent 4 2" xfId="10" xr:uid="{51C2CB77-11E2-4A8F-AF10-1CB4B8601286}"/>
    <cellStyle name="Standard" xfId="0" builtinId="0"/>
    <cellStyle name="Standard 2" xfId="3" xr:uid="{00000000-0005-0000-0000-000004000000}"/>
    <cellStyle name="Standard 2 2" xfId="7" xr:uid="{715999C6-8BDD-464F-A53F-2D0C0610C1C9}"/>
    <cellStyle name="Standard 3" xfId="5" xr:uid="{D21CDE20-7D2B-4947-8C50-96BDB9D63654}"/>
    <cellStyle name="Standard 3 2" xfId="9" xr:uid="{5011BA1F-B6E3-4681-B716-D0C9CC684563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  <color rgb="FFFF7A5F"/>
      <color rgb="FFCC99FF"/>
      <color rgb="FFFFCC99"/>
      <color rgb="FFFFCC66"/>
      <color rgb="FFFFEB7D"/>
      <color rgb="FF009900"/>
      <color rgb="FFCCCCFF"/>
      <color rgb="FF9966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135466</xdr:colOff>
      <xdr:row>22</xdr:row>
      <xdr:rowOff>84666</xdr:rowOff>
    </xdr:from>
    <xdr:to>
      <xdr:col>12</xdr:col>
      <xdr:colOff>1231532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80E8E9-90E0-4C71-8FA2-90316083A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11866" y="4770966"/>
          <a:ext cx="3559866" cy="1411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135466</xdr:colOff>
      <xdr:row>22</xdr:row>
      <xdr:rowOff>84666</xdr:rowOff>
    </xdr:from>
    <xdr:to>
      <xdr:col>12</xdr:col>
      <xdr:colOff>1231532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84A0DA5-2A72-8643-BB10-9949072F4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11866" y="4770966"/>
          <a:ext cx="3559866" cy="1411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26620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ED6B0C2-47F7-4639-9157-E9F95B4B4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  <xdr:twoCellAnchor editAs="oneCell">
    <xdr:from>
      <xdr:col>10</xdr:col>
      <xdr:colOff>139700</xdr:colOff>
      <xdr:row>22</xdr:row>
      <xdr:rowOff>88900</xdr:rowOff>
    </xdr:from>
    <xdr:to>
      <xdr:col>13</xdr:col>
      <xdr:colOff>3866</xdr:colOff>
      <xdr:row>29</xdr:row>
      <xdr:rowOff>77675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89C3DC4-4684-864C-856D-E38EB5973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16100" y="4775200"/>
          <a:ext cx="3559866" cy="1411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 2013–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EB64-3C98-49AD-AFA7-32CB9200B01E}">
  <dimension ref="A1:AB75"/>
  <sheetViews>
    <sheetView tabSelected="1" zoomScaleNormal="100" workbookViewId="0">
      <selection activeCell="D51" sqref="D51"/>
    </sheetView>
  </sheetViews>
  <sheetFormatPr baseColWidth="10" defaultColWidth="0" defaultRowHeight="16" zeroHeight="1" x14ac:dyDescent="0.2"/>
  <cols>
    <col min="1" max="1" width="27" style="1" bestFit="1" customWidth="1"/>
    <col min="2" max="2" width="32.33203125" style="1" customWidth="1"/>
    <col min="3" max="17" width="16.1640625" style="1" customWidth="1"/>
    <col min="18" max="18" width="10.5" style="1" customWidth="1"/>
    <col min="19" max="28" width="0" style="1" hidden="1" customWidth="1"/>
    <col min="29" max="16384" width="10.5" style="1" hidden="1"/>
  </cols>
  <sheetData>
    <row r="1" spans="1:28" x14ac:dyDescent="0.2"/>
    <row r="2" spans="1:28" ht="26" x14ac:dyDescent="0.3">
      <c r="B2" s="31" t="s">
        <v>9</v>
      </c>
    </row>
    <row r="3" spans="1:28" x14ac:dyDescent="0.2"/>
    <row r="4" spans="1:28" x14ac:dyDescent="0.2">
      <c r="B4" s="22" t="s">
        <v>41</v>
      </c>
    </row>
    <row r="5" spans="1:28" x14ac:dyDescent="0.2"/>
    <row r="6" spans="1:28" x14ac:dyDescent="0.2">
      <c r="B6" s="1" t="s">
        <v>40</v>
      </c>
    </row>
    <row r="7" spans="1:28" x14ac:dyDescent="0.2"/>
    <row r="8" spans="1:28" x14ac:dyDescent="0.2"/>
    <row r="9" spans="1:28" s="8" customFormat="1" x14ac:dyDescent="0.2">
      <c r="G9" s="9" t="s">
        <v>8</v>
      </c>
      <c r="H9" s="10"/>
      <c r="I9" s="10"/>
      <c r="J9" s="10"/>
      <c r="K9" s="10"/>
      <c r="L9" s="10"/>
      <c r="M9" s="10"/>
      <c r="N9" s="10"/>
      <c r="O9" s="10"/>
      <c r="P9" s="10"/>
      <c r="Q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">
      <c r="A10" s="4"/>
      <c r="B10" s="4"/>
      <c r="C10" s="11">
        <v>2019</v>
      </c>
      <c r="D10" s="11">
        <f>C10+1</f>
        <v>2020</v>
      </c>
      <c r="E10" s="11">
        <f>D10+1</f>
        <v>2021</v>
      </c>
      <c r="F10" s="11">
        <f>E10+1</f>
        <v>2022</v>
      </c>
      <c r="G10" s="55">
        <f>F10+1</f>
        <v>2023</v>
      </c>
      <c r="H10" s="55">
        <f t="shared" ref="H10:P10" si="0">G10+1</f>
        <v>2024</v>
      </c>
      <c r="I10" s="55">
        <f t="shared" si="0"/>
        <v>2025</v>
      </c>
      <c r="J10" s="55">
        <f t="shared" si="0"/>
        <v>2026</v>
      </c>
      <c r="K10" s="55">
        <f t="shared" si="0"/>
        <v>2027</v>
      </c>
      <c r="L10" s="55">
        <f t="shared" si="0"/>
        <v>2028</v>
      </c>
      <c r="M10" s="55">
        <f t="shared" si="0"/>
        <v>2029</v>
      </c>
      <c r="N10" s="55">
        <f t="shared" si="0"/>
        <v>2030</v>
      </c>
      <c r="O10" s="55">
        <f t="shared" si="0"/>
        <v>2031</v>
      </c>
      <c r="P10" s="55">
        <f t="shared" si="0"/>
        <v>2032</v>
      </c>
      <c r="Q10" s="55" t="str">
        <f>P10+1&amp;"ff."</f>
        <v>2033ff.</v>
      </c>
    </row>
    <row r="11" spans="1:28" x14ac:dyDescent="0.2">
      <c r="A11" s="5"/>
      <c r="B11" s="4" t="s">
        <v>4</v>
      </c>
      <c r="C11" s="82">
        <v>10.149984999999999</v>
      </c>
      <c r="D11" s="82">
        <v>11.604493</v>
      </c>
      <c r="E11" s="82">
        <v>13.327563</v>
      </c>
      <c r="F11" s="82">
        <v>14.40986</v>
      </c>
      <c r="G11" s="72">
        <v>15.66001</v>
      </c>
      <c r="H11" s="72">
        <v>16.572289999999999</v>
      </c>
      <c r="I11" s="72">
        <v>17.446909999999999</v>
      </c>
      <c r="J11" s="72">
        <f>I11*(1+J12)</f>
        <v>18.319255500000001</v>
      </c>
      <c r="K11" s="72">
        <f>J11*(1+K12)</f>
        <v>19.143621997499999</v>
      </c>
      <c r="L11" s="72">
        <f t="shared" ref="L11:Q11" si="1">K11*(1+L12)</f>
        <v>19.9093668774</v>
      </c>
      <c r="M11" s="72">
        <f t="shared" si="1"/>
        <v>20.606194718108998</v>
      </c>
      <c r="N11" s="72">
        <f t="shared" si="1"/>
        <v>21.224380559652268</v>
      </c>
      <c r="O11" s="72">
        <f t="shared" si="1"/>
        <v>21.861111976441837</v>
      </c>
      <c r="P11" s="72">
        <f t="shared" si="1"/>
        <v>22.298334215970673</v>
      </c>
      <c r="Q11" s="72">
        <f t="shared" si="1"/>
        <v>22.632809229210231</v>
      </c>
    </row>
    <row r="12" spans="1:28" x14ac:dyDescent="0.2">
      <c r="A12" s="5"/>
      <c r="B12" s="4" t="s">
        <v>1</v>
      </c>
      <c r="C12" s="86"/>
      <c r="D12" s="89">
        <f t="shared" ref="D12:I12" si="2">D11/C11-1</f>
        <v>0.14330149256378211</v>
      </c>
      <c r="E12" s="89">
        <f t="shared" si="2"/>
        <v>0.14848300567719752</v>
      </c>
      <c r="F12" s="89">
        <f t="shared" si="2"/>
        <v>8.1207419540991976E-2</v>
      </c>
      <c r="G12" s="85">
        <f t="shared" si="2"/>
        <v>8.6756568072139384E-2</v>
      </c>
      <c r="H12" s="85">
        <f t="shared" si="2"/>
        <v>5.8255390641512861E-2</v>
      </c>
      <c r="I12" s="85">
        <f t="shared" si="2"/>
        <v>5.2776049658797897E-2</v>
      </c>
      <c r="J12" s="85">
        <v>0.05</v>
      </c>
      <c r="K12" s="71">
        <v>4.4999999999999998E-2</v>
      </c>
      <c r="L12" s="71">
        <v>0.04</v>
      </c>
      <c r="M12" s="71">
        <v>3.5000000000000003E-2</v>
      </c>
      <c r="N12" s="71">
        <v>0.03</v>
      </c>
      <c r="O12" s="71">
        <v>0.03</v>
      </c>
      <c r="P12" s="71">
        <v>0.02</v>
      </c>
      <c r="Q12" s="12">
        <v>1.4999999999999999E-2</v>
      </c>
    </row>
    <row r="13" spans="1:28" ht="16" customHeight="1" x14ac:dyDescent="0.2">
      <c r="A13" s="5"/>
      <c r="B13" s="4" t="s">
        <v>13</v>
      </c>
      <c r="C13" s="88">
        <f>C14/C11</f>
        <v>0.18923436832665272</v>
      </c>
      <c r="D13" s="88">
        <f t="shared" ref="D13:F13" si="3">D14/D11</f>
        <v>0.20848269717599899</v>
      </c>
      <c r="E13" s="88">
        <f t="shared" si="3"/>
        <v>0.21888232679898045</v>
      </c>
      <c r="F13" s="88">
        <f t="shared" si="3"/>
        <v>0.2050325957365304</v>
      </c>
      <c r="G13" s="84">
        <f>G14/G11</f>
        <v>0.2016</v>
      </c>
      <c r="H13" s="84">
        <f t="shared" ref="H13:I13" si="4">H14/H11</f>
        <v>0.20380000000000001</v>
      </c>
      <c r="I13" s="84">
        <f t="shared" si="4"/>
        <v>0.20499999999999999</v>
      </c>
      <c r="J13" s="84">
        <v>0.19500000000000001</v>
      </c>
      <c r="K13" s="84">
        <v>0.19</v>
      </c>
      <c r="L13" s="84">
        <v>0.185</v>
      </c>
      <c r="M13" s="84">
        <v>0.185</v>
      </c>
      <c r="N13" s="84">
        <v>0.18</v>
      </c>
      <c r="O13" s="84">
        <v>0.18</v>
      </c>
      <c r="P13" s="84">
        <v>0.17499999999999999</v>
      </c>
      <c r="Q13" s="84">
        <v>0.17499999999999999</v>
      </c>
    </row>
    <row r="14" spans="1:28" ht="17.25" customHeight="1" x14ac:dyDescent="0.2">
      <c r="A14" s="5"/>
      <c r="B14" s="4" t="s">
        <v>14</v>
      </c>
      <c r="C14" s="82">
        <v>1.9207259999999999</v>
      </c>
      <c r="D14" s="82">
        <v>2.4193359999999999</v>
      </c>
      <c r="E14" s="82">
        <v>2.9171680000000002</v>
      </c>
      <c r="F14" s="82">
        <v>2.954491</v>
      </c>
      <c r="G14" s="72">
        <v>3.1570580160000001</v>
      </c>
      <c r="H14" s="72">
        <v>3.3774327020000001</v>
      </c>
      <c r="I14" s="72">
        <v>3.5766165499999998</v>
      </c>
      <c r="J14" s="72">
        <f>J11*J13</f>
        <v>3.5722548225000001</v>
      </c>
      <c r="K14" s="72">
        <f t="shared" ref="K14:Q14" si="5">K11*K13</f>
        <v>3.6372881795249996</v>
      </c>
      <c r="L14" s="72">
        <f t="shared" si="5"/>
        <v>3.683232872319</v>
      </c>
      <c r="M14" s="72">
        <f t="shared" si="5"/>
        <v>3.8121460228501647</v>
      </c>
      <c r="N14" s="72">
        <f t="shared" si="5"/>
        <v>3.8203885007374079</v>
      </c>
      <c r="O14" s="72">
        <f t="shared" si="5"/>
        <v>3.9350001557595307</v>
      </c>
      <c r="P14" s="72">
        <f>P11*P13</f>
        <v>3.9022084877948675</v>
      </c>
      <c r="Q14" s="72">
        <f t="shared" si="5"/>
        <v>3.96074161511179</v>
      </c>
    </row>
    <row r="15" spans="1:28" x14ac:dyDescent="0.2">
      <c r="A15" s="100">
        <v>0.2</v>
      </c>
      <c r="B15" s="4" t="s">
        <v>36</v>
      </c>
      <c r="C15" s="82">
        <v>1.3910419999999999</v>
      </c>
      <c r="D15" s="82">
        <v>1.752302</v>
      </c>
      <c r="E15" s="82">
        <v>2.164685</v>
      </c>
      <c r="F15" s="82">
        <v>2.17265</v>
      </c>
      <c r="G15" s="72">
        <v>2.3082854739999998</v>
      </c>
      <c r="H15" s="72">
        <v>2.4659567519999994</v>
      </c>
      <c r="I15" s="72">
        <v>2.6135471179999996</v>
      </c>
      <c r="J15" s="72">
        <f>J14*(1-$A$15)</f>
        <v>2.8578038580000005</v>
      </c>
      <c r="K15" s="72">
        <f>K14*(1-$A$15)</f>
        <v>2.90983054362</v>
      </c>
      <c r="L15" s="72">
        <f t="shared" ref="L15:Q15" si="6">L14*(1-$A$15)</f>
        <v>2.9465862978552</v>
      </c>
      <c r="M15" s="72">
        <f t="shared" si="6"/>
        <v>3.0497168182801317</v>
      </c>
      <c r="N15" s="72">
        <f t="shared" si="6"/>
        <v>3.0563108005899267</v>
      </c>
      <c r="O15" s="72">
        <f t="shared" si="6"/>
        <v>3.1480001246076248</v>
      </c>
      <c r="P15" s="72">
        <f>P14*(1-$A$15)</f>
        <v>3.1217667902358941</v>
      </c>
      <c r="Q15" s="72">
        <f t="shared" si="6"/>
        <v>3.1685932920894322</v>
      </c>
    </row>
    <row r="16" spans="1:28" ht="35" hidden="1" thickBot="1" x14ac:dyDescent="0.25">
      <c r="A16" s="13" t="s">
        <v>5</v>
      </c>
      <c r="B16" s="14"/>
      <c r="C16" s="15">
        <f t="shared" ref="C16:J16" si="7">C15/C14</f>
        <v>0.72422719325921547</v>
      </c>
      <c r="D16" s="15">
        <f t="shared" si="7"/>
        <v>0.72429046647509898</v>
      </c>
      <c r="E16" s="15">
        <f t="shared" si="7"/>
        <v>0.74205016646281596</v>
      </c>
      <c r="F16" s="15">
        <f t="shared" si="7"/>
        <v>0.73537201501036897</v>
      </c>
      <c r="G16" s="15">
        <f t="shared" si="7"/>
        <v>0.73115079365079361</v>
      </c>
      <c r="H16" s="15">
        <f t="shared" si="7"/>
        <v>0.7301275760549556</v>
      </c>
      <c r="I16" s="15">
        <f t="shared" si="7"/>
        <v>0.73073170731707315</v>
      </c>
      <c r="J16" s="15">
        <f t="shared" si="7"/>
        <v>0.8</v>
      </c>
    </row>
    <row r="17" spans="1:18" ht="17" x14ac:dyDescent="0.2">
      <c r="A17" s="2" t="s">
        <v>33</v>
      </c>
      <c r="C17" s="82"/>
      <c r="D17" s="82"/>
      <c r="E17" s="82"/>
      <c r="F17" s="82"/>
      <c r="G17" s="72">
        <f>G15/G18</f>
        <v>38.306488319907636</v>
      </c>
      <c r="H17" s="72">
        <f t="shared" ref="H17:P17" si="8">H15/H18</f>
        <v>41.758241539403777</v>
      </c>
      <c r="I17" s="72">
        <f t="shared" si="8"/>
        <v>45.160735338277682</v>
      </c>
      <c r="J17" s="72">
        <f t="shared" si="8"/>
        <v>50.389147764433439</v>
      </c>
      <c r="K17" s="72">
        <f t="shared" si="8"/>
        <v>52.35355985676744</v>
      </c>
      <c r="L17" s="72">
        <f t="shared" si="8"/>
        <v>54.09680406252447</v>
      </c>
      <c r="M17" s="72">
        <f t="shared" si="8"/>
        <v>57.132849188482467</v>
      </c>
      <c r="N17" s="72">
        <f t="shared" si="8"/>
        <v>58.424877217565644</v>
      </c>
      <c r="O17" s="72">
        <f t="shared" si="8"/>
        <v>61.405738300094505</v>
      </c>
      <c r="P17" s="72">
        <f t="shared" si="8"/>
        <v>62.136758994143243</v>
      </c>
      <c r="Q17" s="72"/>
    </row>
    <row r="18" spans="1:18" ht="35" thickBot="1" x14ac:dyDescent="0.25">
      <c r="A18" s="2" t="s">
        <v>35</v>
      </c>
      <c r="C18" s="107">
        <v>0.98</v>
      </c>
      <c r="D18" s="82"/>
      <c r="E18" s="82"/>
      <c r="F18" s="82"/>
      <c r="G18" s="72">
        <f>C50</f>
        <v>6.0258341999999999E-2</v>
      </c>
      <c r="H18" s="72">
        <f>G18*$C18</f>
        <v>5.9053175159999999E-2</v>
      </c>
      <c r="I18" s="72">
        <f t="shared" ref="I18:O18" si="9">H18*$C18</f>
        <v>5.78721116568E-2</v>
      </c>
      <c r="J18" s="72">
        <f t="shared" si="9"/>
        <v>5.6714669423664002E-2</v>
      </c>
      <c r="K18" s="72">
        <f t="shared" si="9"/>
        <v>5.5580376035190719E-2</v>
      </c>
      <c r="L18" s="72">
        <f t="shared" si="9"/>
        <v>5.4468768514486905E-2</v>
      </c>
      <c r="M18" s="72">
        <f t="shared" si="9"/>
        <v>5.3379393144197165E-2</v>
      </c>
      <c r="N18" s="72">
        <f t="shared" si="9"/>
        <v>5.2311805281313219E-2</v>
      </c>
      <c r="O18" s="72">
        <f t="shared" si="9"/>
        <v>5.1265569175686955E-2</v>
      </c>
      <c r="P18" s="72">
        <f>O18*$C18</f>
        <v>5.0240257792173212E-2</v>
      </c>
      <c r="Q18" s="72"/>
    </row>
    <row r="19" spans="1:18" ht="17" thickBot="1" x14ac:dyDescent="0.25">
      <c r="A19" s="2"/>
      <c r="E19" s="51" t="s">
        <v>10</v>
      </c>
      <c r="F19" s="52"/>
      <c r="G19" s="53">
        <f>G15/(1+$C$55)</f>
        <v>2.1671498406290337</v>
      </c>
      <c r="H19" s="53">
        <f>H15/(1+$C$55)^2</f>
        <v>2.1736233911342495</v>
      </c>
      <c r="I19" s="53">
        <f>I15/(1+$C$55)^3</f>
        <v>2.1628609478745644</v>
      </c>
      <c r="J19" s="53">
        <f>J15/(1+$C$55)^4</f>
        <v>2.220394305888139</v>
      </c>
      <c r="K19" s="53">
        <f>K15/(1+$C$55)^5</f>
        <v>2.1225836112125509</v>
      </c>
      <c r="L19" s="53">
        <f>L15/(1+$C$55)^6</f>
        <v>2.0179745979767376</v>
      </c>
      <c r="M19" s="53">
        <f>M15/(1+$C$55)^7</f>
        <v>1.9609000905113703</v>
      </c>
      <c r="N19" s="53">
        <f>N15/(1+$C$55)^8</f>
        <v>1.8449852125251536</v>
      </c>
      <c r="O19" s="53">
        <f>O15/(1+$C$55)^9</f>
        <v>1.7841424892861479</v>
      </c>
      <c r="P19" s="53">
        <f>P15/(1+$C$55)^10</f>
        <v>1.6610957729926188</v>
      </c>
      <c r="Q19" s="54">
        <f>(Q15/(C55-Q12))/(1+C55)^10</f>
        <v>33.636153807232077</v>
      </c>
    </row>
    <row r="20" spans="1:18" x14ac:dyDescent="0.2">
      <c r="A20" s="2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6"/>
      <c r="P20" s="3"/>
      <c r="Q20" s="3"/>
      <c r="R20" s="3"/>
    </row>
    <row r="21" spans="1:18" x14ac:dyDescent="0.2">
      <c r="A21" s="2"/>
      <c r="J21" s="101"/>
      <c r="K21" s="101"/>
      <c r="L21" s="101"/>
      <c r="M21" s="101"/>
      <c r="N21" s="101"/>
      <c r="O21" s="101"/>
      <c r="P21" s="101"/>
      <c r="Q21" s="101"/>
      <c r="R21" s="3"/>
    </row>
    <row r="22" spans="1:18" ht="17" thickBot="1" x14ac:dyDescent="0.25">
      <c r="P22" s="3"/>
      <c r="Q22" s="3"/>
      <c r="R22" s="3"/>
    </row>
    <row r="23" spans="1:18" x14ac:dyDescent="0.2">
      <c r="A23" s="32" t="s">
        <v>22</v>
      </c>
      <c r="B23" s="33"/>
      <c r="C23" s="33"/>
      <c r="D23" s="34"/>
      <c r="E23" s="23"/>
      <c r="F23" s="33"/>
      <c r="G23" s="90" t="s">
        <v>23</v>
      </c>
      <c r="H23" s="91"/>
      <c r="I23" s="92">
        <v>3.7499999999999999E-2</v>
      </c>
      <c r="J23" s="24" t="s">
        <v>24</v>
      </c>
    </row>
    <row r="24" spans="1:18" x14ac:dyDescent="0.2">
      <c r="A24" s="35"/>
      <c r="B24" s="36"/>
      <c r="C24" s="36"/>
      <c r="D24" s="37"/>
      <c r="E24" s="36"/>
      <c r="F24" s="36"/>
      <c r="G24" s="93"/>
      <c r="H24" s="6"/>
      <c r="I24" s="94"/>
      <c r="J24" s="26"/>
    </row>
    <row r="25" spans="1:18" x14ac:dyDescent="0.2">
      <c r="A25" s="35"/>
      <c r="B25" s="36"/>
      <c r="C25" s="36"/>
      <c r="D25" s="38"/>
      <c r="F25" s="36"/>
      <c r="G25" s="93" t="s">
        <v>25</v>
      </c>
      <c r="H25" s="6"/>
      <c r="I25" s="95">
        <f>(I27-I23)*I29</f>
        <v>2.7625000000000007E-2</v>
      </c>
      <c r="J25" s="26"/>
    </row>
    <row r="26" spans="1:18" x14ac:dyDescent="0.2">
      <c r="A26" s="35"/>
      <c r="B26" s="36"/>
      <c r="C26" s="36"/>
      <c r="D26" s="38"/>
      <c r="F26" s="36"/>
      <c r="G26" s="93"/>
      <c r="H26" s="6"/>
      <c r="I26" s="94"/>
      <c r="J26" s="26"/>
    </row>
    <row r="27" spans="1:18" x14ac:dyDescent="0.2">
      <c r="A27" s="35"/>
      <c r="B27" s="36"/>
      <c r="C27" s="36"/>
      <c r="D27" s="38"/>
      <c r="F27" s="36"/>
      <c r="G27" s="93" t="s">
        <v>26</v>
      </c>
      <c r="H27" s="6"/>
      <c r="I27" s="96">
        <v>7.0000000000000007E-2</v>
      </c>
      <c r="J27" s="26" t="s">
        <v>27</v>
      </c>
    </row>
    <row r="28" spans="1:18" x14ac:dyDescent="0.2">
      <c r="A28" s="35"/>
      <c r="B28" s="36"/>
      <c r="C28" s="36"/>
      <c r="D28" s="39"/>
      <c r="F28" s="36"/>
      <c r="G28" s="93"/>
      <c r="H28" s="6"/>
      <c r="I28" s="94"/>
      <c r="J28" s="26"/>
    </row>
    <row r="29" spans="1:18" x14ac:dyDescent="0.2">
      <c r="A29" s="35"/>
      <c r="B29" s="36"/>
      <c r="C29" s="36"/>
      <c r="D29" s="39"/>
      <c r="F29" s="36"/>
      <c r="G29" s="93" t="s">
        <v>32</v>
      </c>
      <c r="H29" s="6"/>
      <c r="I29" s="79">
        <v>0.85</v>
      </c>
      <c r="J29" s="26" t="s">
        <v>28</v>
      </c>
    </row>
    <row r="30" spans="1:18" x14ac:dyDescent="0.2">
      <c r="A30" s="35"/>
      <c r="B30" s="36"/>
      <c r="C30" s="36"/>
      <c r="D30" s="40"/>
      <c r="F30" s="36"/>
      <c r="G30" s="93"/>
      <c r="H30" s="6"/>
      <c r="I30" s="94"/>
      <c r="J30" s="26"/>
    </row>
    <row r="31" spans="1:18" x14ac:dyDescent="0.2">
      <c r="A31" s="35"/>
      <c r="B31" s="36"/>
      <c r="C31" s="36"/>
      <c r="D31" s="37"/>
      <c r="F31" s="36"/>
      <c r="G31" s="93" t="s">
        <v>29</v>
      </c>
      <c r="H31" s="6"/>
      <c r="I31" s="96">
        <f>I23+(I27-I23)*I29</f>
        <v>6.5125000000000002E-2</v>
      </c>
      <c r="J31" s="26" t="s">
        <v>30</v>
      </c>
    </row>
    <row r="32" spans="1:18" x14ac:dyDescent="0.2">
      <c r="A32" s="25"/>
      <c r="C32" s="41"/>
      <c r="E32" s="36"/>
      <c r="F32" s="36"/>
      <c r="G32" s="93"/>
      <c r="H32" s="6"/>
      <c r="I32" s="6"/>
      <c r="J32" s="26"/>
    </row>
    <row r="33" spans="1:10" x14ac:dyDescent="0.2">
      <c r="A33" s="25"/>
      <c r="G33" s="97" t="s">
        <v>31</v>
      </c>
      <c r="H33" s="98"/>
      <c r="I33" s="99">
        <f>I31</f>
        <v>6.5125000000000002E-2</v>
      </c>
      <c r="J33" s="26"/>
    </row>
    <row r="34" spans="1:10" x14ac:dyDescent="0.2">
      <c r="A34" s="35" t="s">
        <v>6</v>
      </c>
      <c r="B34" s="36"/>
      <c r="C34" s="42"/>
      <c r="D34" s="27"/>
      <c r="G34" s="93"/>
      <c r="H34" s="6"/>
      <c r="I34" s="6"/>
      <c r="J34" s="26"/>
    </row>
    <row r="35" spans="1:10" ht="15.75" hidden="1" customHeight="1" x14ac:dyDescent="0.2">
      <c r="A35" s="25"/>
      <c r="G35" s="25"/>
      <c r="J35" s="26"/>
    </row>
    <row r="36" spans="1:10" ht="15.75" hidden="1" customHeight="1" x14ac:dyDescent="0.2">
      <c r="A36" s="25"/>
      <c r="B36" s="1" t="s">
        <v>7</v>
      </c>
      <c r="D36" s="43">
        <v>0.08</v>
      </c>
      <c r="G36" s="25"/>
      <c r="J36" s="26"/>
    </row>
    <row r="37" spans="1:10" ht="15.75" hidden="1" customHeight="1" x14ac:dyDescent="0.2">
      <c r="A37" s="25"/>
      <c r="G37" s="25"/>
      <c r="J37" s="26"/>
    </row>
    <row r="38" spans="1:10" ht="15.75" hidden="1" customHeight="1" x14ac:dyDescent="0.2">
      <c r="A38" s="25"/>
      <c r="G38" s="25"/>
      <c r="J38" s="26"/>
    </row>
    <row r="39" spans="1:10" ht="15.75" hidden="1" customHeight="1" x14ac:dyDescent="0.2">
      <c r="A39" s="25"/>
      <c r="G39" s="25"/>
      <c r="J39" s="26"/>
    </row>
    <row r="40" spans="1:10" hidden="1" x14ac:dyDescent="0.2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">
      <c r="A45" s="25"/>
      <c r="G45" s="25"/>
      <c r="J45" s="26"/>
    </row>
    <row r="46" spans="1:10" ht="17" thickBot="1" x14ac:dyDescent="0.25">
      <c r="A46" s="28"/>
      <c r="B46" s="29" t="s">
        <v>18</v>
      </c>
      <c r="C46" s="29"/>
      <c r="D46" s="44">
        <f>I33</f>
        <v>6.5125000000000002E-2</v>
      </c>
      <c r="E46" s="29"/>
      <c r="F46" s="29"/>
      <c r="G46" s="28"/>
      <c r="H46" s="29"/>
      <c r="I46" s="29"/>
      <c r="J46" s="30"/>
    </row>
    <row r="47" spans="1:10" x14ac:dyDescent="0.2"/>
    <row r="48" spans="1:10" x14ac:dyDescent="0.2">
      <c r="A48" s="16"/>
      <c r="B48" s="17"/>
      <c r="C48" s="83">
        <v>45205</v>
      </c>
      <c r="D48" s="18" t="s">
        <v>3</v>
      </c>
      <c r="E48" s="19"/>
      <c r="F48" s="20"/>
      <c r="G48" s="21"/>
      <c r="H48" s="21"/>
      <c r="I48" s="21"/>
    </row>
    <row r="49" spans="1:17" ht="17" x14ac:dyDescent="0.2">
      <c r="A49" s="45" t="s">
        <v>0</v>
      </c>
      <c r="B49" s="46" t="s">
        <v>38</v>
      </c>
      <c r="C49" s="56">
        <f>C50*C51</f>
        <v>54.362063235299999</v>
      </c>
      <c r="D49" s="47">
        <f>SUM(G19:Q19)</f>
        <v>53.751864067262638</v>
      </c>
      <c r="E49" s="46"/>
    </row>
    <row r="50" spans="1:17" x14ac:dyDescent="0.2">
      <c r="A50" s="45"/>
      <c r="B50" s="46" t="s">
        <v>39</v>
      </c>
      <c r="C50" s="56">
        <f>0.060258342</f>
        <v>6.0258341999999999E-2</v>
      </c>
      <c r="D50" s="56">
        <f>C50</f>
        <v>6.0258341999999999E-2</v>
      </c>
      <c r="E50" s="46"/>
    </row>
    <row r="51" spans="1:17" x14ac:dyDescent="0.2">
      <c r="A51" s="45"/>
      <c r="B51" s="46" t="s">
        <v>11</v>
      </c>
      <c r="C51" s="87">
        <v>902.15</v>
      </c>
      <c r="D51" s="56">
        <f>D49/(D50)</f>
        <v>892.02361504175872</v>
      </c>
      <c r="E51" s="46"/>
    </row>
    <row r="52" spans="1:17" x14ac:dyDescent="0.2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2">
      <c r="A53" s="45"/>
      <c r="B53" s="46" t="s">
        <v>12</v>
      </c>
      <c r="C53" s="46"/>
      <c r="D53" s="58">
        <f>IF(C51/D51-1&lt;0,0,C51/D51-1)</f>
        <v>1.1352148964988151E-2</v>
      </c>
      <c r="E53" s="46"/>
    </row>
    <row r="54" spans="1:17" x14ac:dyDescent="0.2">
      <c r="A54" s="46"/>
      <c r="B54" s="46"/>
      <c r="C54" s="46"/>
      <c r="D54" s="48"/>
      <c r="E54" s="48"/>
    </row>
    <row r="55" spans="1:17" x14ac:dyDescent="0.2">
      <c r="A55" s="48" t="s">
        <v>17</v>
      </c>
      <c r="B55" s="46"/>
      <c r="C55" s="50">
        <f>D46</f>
        <v>6.5125000000000002E-2</v>
      </c>
      <c r="D55" s="49"/>
      <c r="E55" s="46"/>
      <c r="J55" s="70"/>
    </row>
    <row r="56" spans="1:17" x14ac:dyDescent="0.2">
      <c r="A56" s="48"/>
      <c r="B56" s="46"/>
      <c r="C56" s="50"/>
      <c r="D56" s="49"/>
      <c r="E56" s="46"/>
    </row>
    <row r="57" spans="1:17" hidden="1" x14ac:dyDescent="0.2">
      <c r="A57" s="48" t="s">
        <v>20</v>
      </c>
      <c r="B57" s="73">
        <v>0.108</v>
      </c>
      <c r="C57" s="50"/>
      <c r="D57" s="74">
        <f>SUM(H57:Q57)*1000</f>
        <v>27545.899041580968</v>
      </c>
      <c r="E57" s="46"/>
      <c r="F57" s="1" t="s">
        <v>21</v>
      </c>
      <c r="H57" s="1">
        <f>G15/(1+$B$57)</f>
        <v>2.0832901389891694</v>
      </c>
      <c r="I57" s="1">
        <f>H15/(1+$B$57)^2</f>
        <v>2.0086577043881704</v>
      </c>
      <c r="J57" s="1">
        <f>I15/(1+$B$57)^3</f>
        <v>1.9213702103394219</v>
      </c>
      <c r="K57" s="1">
        <f>J15/(1+$B$57)^4</f>
        <v>1.8961529961344208</v>
      </c>
      <c r="L57" s="1">
        <f>K15/(1+$B$57)^5</f>
        <v>1.7424843903660518</v>
      </c>
      <c r="M57" s="1">
        <f>L15/(1+$B$57)^6</f>
        <v>1.592504259483319</v>
      </c>
      <c r="N57" s="1">
        <f>M15/(1+$B$57)^7</f>
        <v>1.4875829499686237</v>
      </c>
      <c r="O57" s="1">
        <f>N15/(1+$B$57)^8</f>
        <v>1.3454867739495693</v>
      </c>
      <c r="P57" s="1">
        <f>O15/(1+$B$57)^9</f>
        <v>1.2507683909458993</v>
      </c>
      <c r="Q57" s="1">
        <f>(Q15/(B57-Q12))/(1+B57)^10</f>
        <v>12.217601227016322</v>
      </c>
    </row>
    <row r="58" spans="1:17" ht="17" thickBot="1" x14ac:dyDescent="0.25">
      <c r="A58" s="22"/>
      <c r="C58" s="65"/>
      <c r="D58" s="66"/>
    </row>
    <row r="59" spans="1:17" x14ac:dyDescent="0.2">
      <c r="A59" s="59" t="str">
        <f>"KGV Multiple in "&amp;P10</f>
        <v>KGV Multiple in 2032</v>
      </c>
      <c r="B59" s="23"/>
      <c r="C59" s="67">
        <v>18</v>
      </c>
      <c r="D59" s="23"/>
      <c r="E59" s="24"/>
    </row>
    <row r="60" spans="1:17" x14ac:dyDescent="0.2">
      <c r="A60" s="25" t="s">
        <v>19</v>
      </c>
      <c r="C60" s="68"/>
      <c r="E60" s="26"/>
    </row>
    <row r="61" spans="1:17" x14ac:dyDescent="0.2">
      <c r="A61" s="25"/>
      <c r="C61" s="68"/>
      <c r="E61" s="26"/>
    </row>
    <row r="62" spans="1:17" x14ac:dyDescent="0.2">
      <c r="A62" s="25" t="s">
        <v>34</v>
      </c>
      <c r="C62" s="68"/>
      <c r="E62" s="60">
        <f>P17*C59</f>
        <v>1118.4616618945784</v>
      </c>
    </row>
    <row r="63" spans="1:17" x14ac:dyDescent="0.2">
      <c r="A63" s="25"/>
      <c r="C63" s="68"/>
      <c r="E63" s="26"/>
    </row>
    <row r="64" spans="1:17" x14ac:dyDescent="0.2">
      <c r="A64" s="25" t="s">
        <v>15</v>
      </c>
      <c r="C64" s="69">
        <v>0</v>
      </c>
      <c r="E64" s="26"/>
    </row>
    <row r="65" spans="1:5" x14ac:dyDescent="0.2">
      <c r="A65" s="25"/>
      <c r="E65" s="26"/>
    </row>
    <row r="66" spans="1:5" x14ac:dyDescent="0.2">
      <c r="A66" s="25" t="s">
        <v>16</v>
      </c>
      <c r="E66" s="60">
        <f>SUM(G17:Q17)*C64</f>
        <v>0</v>
      </c>
    </row>
    <row r="67" spans="1:5" x14ac:dyDescent="0.2">
      <c r="A67" s="25"/>
      <c r="E67" s="61"/>
    </row>
    <row r="68" spans="1:5" x14ac:dyDescent="0.2">
      <c r="A68" s="102" t="s">
        <v>37</v>
      </c>
      <c r="E68" s="103">
        <f>(E66*0.15)*-1</f>
        <v>0</v>
      </c>
    </row>
    <row r="69" spans="1:5" x14ac:dyDescent="0.2">
      <c r="A69" s="25"/>
      <c r="C69" s="41"/>
      <c r="D69" s="41"/>
      <c r="E69" s="62"/>
    </row>
    <row r="70" spans="1:5" x14ac:dyDescent="0.2">
      <c r="A70" s="25" t="str">
        <f>"Gesamtwert "&amp;P10</f>
        <v>Gesamtwert 2032</v>
      </c>
      <c r="E70" s="60">
        <f>SUM(E62:E68)</f>
        <v>1118.4616618945784</v>
      </c>
    </row>
    <row r="71" spans="1:5" x14ac:dyDescent="0.2">
      <c r="A71" s="25"/>
      <c r="E71" s="60"/>
    </row>
    <row r="72" spans="1:5" x14ac:dyDescent="0.2">
      <c r="A72" s="25" t="str">
        <f>"Steigerung Gesamt bis "&amp;P10&amp;" in Prozent"</f>
        <v>Steigerung Gesamt bis 2032 in Prozent</v>
      </c>
      <c r="E72" s="62">
        <f>E70/C51-1</f>
        <v>0.23977349874696929</v>
      </c>
    </row>
    <row r="73" spans="1:5" x14ac:dyDescent="0.2">
      <c r="A73" s="25"/>
      <c r="E73" s="26"/>
    </row>
    <row r="74" spans="1:5" ht="17" thickBot="1" x14ac:dyDescent="0.25">
      <c r="A74" s="63" t="str">
        <f>"Renditeerwartung bis "&amp;P10&amp;" pro Jahr"</f>
        <v>Renditeerwartung bis 2032 pro Jahr</v>
      </c>
      <c r="B74" s="64"/>
      <c r="C74" s="64"/>
      <c r="D74" s="64"/>
      <c r="E74" s="105">
        <f>(E70/C51)^(1/10)-1</f>
        <v>2.1725505473061624E-2</v>
      </c>
    </row>
    <row r="75" spans="1:5" x14ac:dyDescent="0.2"/>
  </sheetData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conditionalFormatting sqref="G6:J8">
    <cfRule type="top10" dxfId="11" priority="5" percent="1" rank="10"/>
  </conditionalFormatting>
  <conditionalFormatting sqref="K9">
    <cfRule type="top10" dxfId="10" priority="4" percent="1" rank="10"/>
  </conditionalFormatting>
  <conditionalFormatting sqref="L2:L5">
    <cfRule type="top10" dxfId="9" priority="3" percent="1" rank="10"/>
  </conditionalFormatting>
  <conditionalFormatting sqref="L6:L8">
    <cfRule type="top10" dxfId="8" priority="6" percent="1" rank="10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089AB-A969-864E-B80B-9176CDCA58C7}">
  <dimension ref="A1:AB75"/>
  <sheetViews>
    <sheetView zoomScale="91" zoomScaleNormal="91" workbookViewId="0"/>
  </sheetViews>
  <sheetFormatPr baseColWidth="10" defaultColWidth="0" defaultRowHeight="16" zeroHeight="1" x14ac:dyDescent="0.2"/>
  <cols>
    <col min="1" max="1" width="27" style="1" bestFit="1" customWidth="1"/>
    <col min="2" max="2" width="32.33203125" style="1" customWidth="1"/>
    <col min="3" max="17" width="16.1640625" style="1" customWidth="1"/>
    <col min="18" max="18" width="10.5" style="1" customWidth="1"/>
    <col min="19" max="28" width="0" style="1" hidden="1" customWidth="1"/>
    <col min="29" max="16384" width="10.5" style="1" hidden="1"/>
  </cols>
  <sheetData>
    <row r="1" spans="1:28" x14ac:dyDescent="0.2"/>
    <row r="2" spans="1:28" ht="26" x14ac:dyDescent="0.3">
      <c r="B2" s="31" t="s">
        <v>9</v>
      </c>
    </row>
    <row r="3" spans="1:28" x14ac:dyDescent="0.2"/>
    <row r="4" spans="1:28" x14ac:dyDescent="0.2">
      <c r="B4" s="22" t="str">
        <f>Pessimistisch!B4</f>
        <v>Annahmen für O'Reilly Automotive</v>
      </c>
    </row>
    <row r="5" spans="1:28" x14ac:dyDescent="0.2"/>
    <row r="6" spans="1:28" x14ac:dyDescent="0.2">
      <c r="B6" s="1" t="str">
        <f>Pessimistisch!B6</f>
        <v>Alle Angaben in Mrd.</v>
      </c>
    </row>
    <row r="7" spans="1:28" x14ac:dyDescent="0.2"/>
    <row r="8" spans="1:28" x14ac:dyDescent="0.2"/>
    <row r="9" spans="1:28" s="8" customFormat="1" x14ac:dyDescent="0.2">
      <c r="G9" s="9" t="s">
        <v>8</v>
      </c>
      <c r="H9" s="10"/>
      <c r="I9" s="10"/>
      <c r="J9" s="10"/>
      <c r="K9" s="10"/>
      <c r="L9" s="10"/>
      <c r="M9" s="10"/>
      <c r="N9" s="10"/>
      <c r="O9" s="10"/>
      <c r="P9" s="10"/>
      <c r="Q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">
      <c r="A10" s="4"/>
      <c r="B10" s="4"/>
      <c r="C10" s="11">
        <f>Pessimistisch!C10</f>
        <v>2019</v>
      </c>
      <c r="D10" s="11">
        <f>Pessimistisch!D10</f>
        <v>2020</v>
      </c>
      <c r="E10" s="11">
        <f>Pessimistisch!E10</f>
        <v>2021</v>
      </c>
      <c r="F10" s="11">
        <f>Pessimistisch!F10</f>
        <v>2022</v>
      </c>
      <c r="G10" s="55">
        <f>Pessimistisch!G10</f>
        <v>2023</v>
      </c>
      <c r="H10" s="55">
        <f>Pessimistisch!H10</f>
        <v>2024</v>
      </c>
      <c r="I10" s="55">
        <f>Pessimistisch!I10</f>
        <v>2025</v>
      </c>
      <c r="J10" s="55">
        <f>Pessimistisch!J10</f>
        <v>2026</v>
      </c>
      <c r="K10" s="55">
        <f>Pessimistisch!K10</f>
        <v>2027</v>
      </c>
      <c r="L10" s="55">
        <f>Pessimistisch!L10</f>
        <v>2028</v>
      </c>
      <c r="M10" s="55">
        <f>Pessimistisch!M10</f>
        <v>2029</v>
      </c>
      <c r="N10" s="55">
        <f>Pessimistisch!N10</f>
        <v>2030</v>
      </c>
      <c r="O10" s="55">
        <f>Pessimistisch!O10</f>
        <v>2031</v>
      </c>
      <c r="P10" s="55">
        <f>Pessimistisch!P10</f>
        <v>2032</v>
      </c>
      <c r="Q10" s="55" t="str">
        <f>Pessimistisch!Q10</f>
        <v>2033ff.</v>
      </c>
    </row>
    <row r="11" spans="1:28" x14ac:dyDescent="0.2">
      <c r="A11" s="5"/>
      <c r="B11" s="4" t="s">
        <v>4</v>
      </c>
      <c r="C11" s="82">
        <f>Pessimistisch!C$11</f>
        <v>10.149984999999999</v>
      </c>
      <c r="D11" s="82">
        <f>Pessimistisch!D$11</f>
        <v>11.604493</v>
      </c>
      <c r="E11" s="82">
        <f>Pessimistisch!E$11</f>
        <v>13.327563</v>
      </c>
      <c r="F11" s="82">
        <f>Pessimistisch!F$11</f>
        <v>14.40986</v>
      </c>
      <c r="G11" s="72">
        <f>Pessimistisch!G11</f>
        <v>15.66001</v>
      </c>
      <c r="H11" s="72">
        <f>Pessimistisch!H11</f>
        <v>16.572289999999999</v>
      </c>
      <c r="I11" s="72">
        <f>Pessimistisch!I11</f>
        <v>17.446909999999999</v>
      </c>
      <c r="J11" s="72">
        <f>I11*(1+J12)</f>
        <v>18.319255500000001</v>
      </c>
      <c r="K11" s="72">
        <f>J11*(1+K12)</f>
        <v>19.235218275000001</v>
      </c>
      <c r="L11" s="72">
        <f t="shared" ref="L11:Q11" si="0">K11*(1+L12)</f>
        <v>20.139273533925</v>
      </c>
      <c r="M11" s="72">
        <f t="shared" si="0"/>
        <v>21.085819390019473</v>
      </c>
      <c r="N11" s="72">
        <f t="shared" si="0"/>
        <v>22.034681262570349</v>
      </c>
      <c r="O11" s="72">
        <f t="shared" si="0"/>
        <v>22.982172556860871</v>
      </c>
      <c r="P11" s="72">
        <f t="shared" si="0"/>
        <v>23.786548596351</v>
      </c>
      <c r="Q11" s="72">
        <f t="shared" si="0"/>
        <v>24.262279568278021</v>
      </c>
    </row>
    <row r="12" spans="1:28" x14ac:dyDescent="0.2">
      <c r="A12" s="5"/>
      <c r="B12" s="4" t="s">
        <v>1</v>
      </c>
      <c r="C12" s="86"/>
      <c r="D12" s="89">
        <f t="shared" ref="D12:I12" si="1">D11/C11-1</f>
        <v>0.14330149256378211</v>
      </c>
      <c r="E12" s="89">
        <f t="shared" si="1"/>
        <v>0.14848300567719752</v>
      </c>
      <c r="F12" s="89">
        <f t="shared" si="1"/>
        <v>8.1207419540991976E-2</v>
      </c>
      <c r="G12" s="85">
        <f t="shared" si="1"/>
        <v>8.6756568072139384E-2</v>
      </c>
      <c r="H12" s="85">
        <f t="shared" si="1"/>
        <v>5.8255390641512861E-2</v>
      </c>
      <c r="I12" s="85">
        <f t="shared" si="1"/>
        <v>5.2776049658797897E-2</v>
      </c>
      <c r="J12" s="85">
        <v>0.05</v>
      </c>
      <c r="K12" s="71">
        <v>0.05</v>
      </c>
      <c r="L12" s="71">
        <v>4.7E-2</v>
      </c>
      <c r="M12" s="71">
        <v>4.7E-2</v>
      </c>
      <c r="N12" s="71">
        <v>4.4999999999999998E-2</v>
      </c>
      <c r="O12" s="71">
        <v>4.2999999999999997E-2</v>
      </c>
      <c r="P12" s="71">
        <v>3.5000000000000003E-2</v>
      </c>
      <c r="Q12" s="12">
        <v>0.02</v>
      </c>
    </row>
    <row r="13" spans="1:28" ht="16" customHeight="1" x14ac:dyDescent="0.2">
      <c r="A13" s="5"/>
      <c r="B13" s="4" t="s">
        <v>13</v>
      </c>
      <c r="C13" s="88">
        <f>C14/C11</f>
        <v>0.18923436832665272</v>
      </c>
      <c r="D13" s="88">
        <f t="shared" ref="D13:F13" si="2">D14/D11</f>
        <v>0.20848269717599899</v>
      </c>
      <c r="E13" s="88">
        <f t="shared" si="2"/>
        <v>0.21888232679898045</v>
      </c>
      <c r="F13" s="88">
        <f t="shared" si="2"/>
        <v>0.2050325957365304</v>
      </c>
      <c r="G13" s="84">
        <f>G14/G11</f>
        <v>0.2016</v>
      </c>
      <c r="H13" s="84">
        <f t="shared" ref="H13:I13" si="3">H14/H11</f>
        <v>0.20380000000000001</v>
      </c>
      <c r="I13" s="84">
        <f t="shared" si="3"/>
        <v>0.20499999999999999</v>
      </c>
      <c r="J13" s="84">
        <v>0.20899999999999999</v>
      </c>
      <c r="K13" s="84">
        <v>0.21</v>
      </c>
      <c r="L13" s="84">
        <v>0.21199999999999999</v>
      </c>
      <c r="M13" s="84">
        <v>0.214</v>
      </c>
      <c r="N13" s="84">
        <v>0.214</v>
      </c>
      <c r="O13" s="84">
        <v>0.214</v>
      </c>
      <c r="P13" s="84">
        <v>0.215</v>
      </c>
      <c r="Q13" s="84">
        <v>0.215</v>
      </c>
    </row>
    <row r="14" spans="1:28" ht="17.25" customHeight="1" x14ac:dyDescent="0.2">
      <c r="A14" s="5"/>
      <c r="B14" s="4" t="s">
        <v>14</v>
      </c>
      <c r="C14" s="82">
        <f>Pessimistisch!C14</f>
        <v>1.9207259999999999</v>
      </c>
      <c r="D14" s="82">
        <f>Pessimistisch!D14</f>
        <v>2.4193359999999999</v>
      </c>
      <c r="E14" s="82">
        <f>Pessimistisch!E14</f>
        <v>2.9171680000000002</v>
      </c>
      <c r="F14" s="82">
        <f>Pessimistisch!F14</f>
        <v>2.954491</v>
      </c>
      <c r="G14" s="72">
        <f>Pessimistisch!G14</f>
        <v>3.1570580160000001</v>
      </c>
      <c r="H14" s="72">
        <f>Pessimistisch!H14</f>
        <v>3.3774327020000001</v>
      </c>
      <c r="I14" s="72">
        <f>Pessimistisch!I14</f>
        <v>3.5766165499999998</v>
      </c>
      <c r="J14" s="72">
        <f>J11*J13</f>
        <v>3.8287243995</v>
      </c>
      <c r="K14" s="72">
        <f t="shared" ref="K14:Q14" si="4">K11*K13</f>
        <v>4.0393958377499999</v>
      </c>
      <c r="L14" s="72">
        <f t="shared" si="4"/>
        <v>4.2695259891920996</v>
      </c>
      <c r="M14" s="72">
        <f t="shared" si="4"/>
        <v>4.5123653494641669</v>
      </c>
      <c r="N14" s="72">
        <f t="shared" si="4"/>
        <v>4.7154217901900548</v>
      </c>
      <c r="O14" s="72">
        <f t="shared" si="4"/>
        <v>4.9181849271682259</v>
      </c>
      <c r="P14" s="72">
        <f>P11*P13</f>
        <v>5.114107948215465</v>
      </c>
      <c r="Q14" s="72">
        <f t="shared" si="4"/>
        <v>5.2163901071797749</v>
      </c>
    </row>
    <row r="15" spans="1:28" x14ac:dyDescent="0.2">
      <c r="A15" s="100">
        <v>0.15</v>
      </c>
      <c r="B15" s="4" t="s">
        <v>36</v>
      </c>
      <c r="C15" s="82">
        <f>Pessimistisch!C15</f>
        <v>1.3910419999999999</v>
      </c>
      <c r="D15" s="82">
        <f>Pessimistisch!D15</f>
        <v>1.752302</v>
      </c>
      <c r="E15" s="82">
        <f>Pessimistisch!E15</f>
        <v>2.164685</v>
      </c>
      <c r="F15" s="82">
        <f>Pessimistisch!F15</f>
        <v>2.17265</v>
      </c>
      <c r="G15" s="72">
        <f>Pessimistisch!G15</f>
        <v>2.3082854739999998</v>
      </c>
      <c r="H15" s="72">
        <f>Pessimistisch!H15</f>
        <v>2.4659567519999994</v>
      </c>
      <c r="I15" s="72">
        <f>Pessimistisch!I15</f>
        <v>2.6135471179999996</v>
      </c>
      <c r="J15" s="72">
        <f>J14*(1-$A$15)</f>
        <v>3.2544157395749997</v>
      </c>
      <c r="K15" s="72">
        <f>K14*(1-$A$15)</f>
        <v>3.4334864620874996</v>
      </c>
      <c r="L15" s="72">
        <f t="shared" ref="L15:Q15" si="5">L14*(1-$A$15)</f>
        <v>3.6290970908132847</v>
      </c>
      <c r="M15" s="72">
        <f t="shared" si="5"/>
        <v>3.8355105470445419</v>
      </c>
      <c r="N15" s="72">
        <f t="shared" si="5"/>
        <v>4.0081085216615469</v>
      </c>
      <c r="O15" s="72">
        <f t="shared" si="5"/>
        <v>4.1804571880929915</v>
      </c>
      <c r="P15" s="72">
        <f>P14*(1-$A$15)</f>
        <v>4.3469917559831455</v>
      </c>
      <c r="Q15" s="72">
        <f t="shared" si="5"/>
        <v>4.4339315911028088</v>
      </c>
    </row>
    <row r="16" spans="1:28" ht="35" hidden="1" thickBot="1" x14ac:dyDescent="0.25">
      <c r="A16" s="13" t="s">
        <v>5</v>
      </c>
      <c r="B16" s="14"/>
      <c r="C16" s="15">
        <f t="shared" ref="C16:J16" si="6">C15/C14</f>
        <v>0.72422719325921547</v>
      </c>
      <c r="D16" s="15">
        <f t="shared" si="6"/>
        <v>0.72429046647509898</v>
      </c>
      <c r="E16" s="15">
        <f t="shared" si="6"/>
        <v>0.74205016646281596</v>
      </c>
      <c r="F16" s="15">
        <f t="shared" si="6"/>
        <v>0.73537201501036897</v>
      </c>
      <c r="G16" s="15">
        <f t="shared" si="6"/>
        <v>0.73115079365079361</v>
      </c>
      <c r="H16" s="15">
        <f t="shared" si="6"/>
        <v>0.7301275760549556</v>
      </c>
      <c r="I16" s="15">
        <f t="shared" si="6"/>
        <v>0.73073170731707315</v>
      </c>
      <c r="J16" s="15">
        <f t="shared" si="6"/>
        <v>0.85</v>
      </c>
    </row>
    <row r="17" spans="1:18" ht="17" x14ac:dyDescent="0.2">
      <c r="A17" s="2" t="s">
        <v>33</v>
      </c>
      <c r="C17" s="82"/>
      <c r="D17" s="82"/>
      <c r="E17" s="82"/>
      <c r="F17" s="82"/>
      <c r="G17" s="72">
        <f>G15/G18</f>
        <v>38.306488319907636</v>
      </c>
      <c r="H17" s="72">
        <f t="shared" ref="H17:O17" si="7">H15/H18</f>
        <v>42.62820490480803</v>
      </c>
      <c r="I17" s="72">
        <f t="shared" si="7"/>
        <v>47.062033657640939</v>
      </c>
      <c r="J17" s="72">
        <f t="shared" si="7"/>
        <v>61.043883464368534</v>
      </c>
      <c r="K17" s="72">
        <f t="shared" si="7"/>
        <v>67.086205661349979</v>
      </c>
      <c r="L17" s="72">
        <f t="shared" si="7"/>
        <v>73.862711078451824</v>
      </c>
      <c r="M17" s="72">
        <f t="shared" si="7"/>
        <v>81.316486432860444</v>
      </c>
      <c r="N17" s="72">
        <f t="shared" si="7"/>
        <v>88.51638366910332</v>
      </c>
      <c r="O17" s="72">
        <f t="shared" si="7"/>
        <v>96.169362673827848</v>
      </c>
      <c r="P17" s="72">
        <f>P15/P18</f>
        <v>104.16709223614461</v>
      </c>
      <c r="Q17" s="72"/>
    </row>
    <row r="18" spans="1:18" ht="35" thickBot="1" x14ac:dyDescent="0.25">
      <c r="A18" s="2" t="s">
        <v>35</v>
      </c>
      <c r="C18" s="107">
        <v>0.96</v>
      </c>
      <c r="D18" s="82"/>
      <c r="E18" s="82"/>
      <c r="F18" s="82"/>
      <c r="G18" s="72">
        <f>C50</f>
        <v>6.0258341999999999E-2</v>
      </c>
      <c r="H18" s="72">
        <f>G18*$C18</f>
        <v>5.7848008319999998E-2</v>
      </c>
      <c r="I18" s="72">
        <f t="shared" ref="I18:O18" si="8">H18*$C18</f>
        <v>5.5534087987199998E-2</v>
      </c>
      <c r="J18" s="72">
        <f t="shared" si="8"/>
        <v>5.3312724467711993E-2</v>
      </c>
      <c r="K18" s="72">
        <f>J18*$C18</f>
        <v>5.1180215489003512E-2</v>
      </c>
      <c r="L18" s="72">
        <f t="shared" si="8"/>
        <v>4.9133006869443371E-2</v>
      </c>
      <c r="M18" s="72">
        <f t="shared" si="8"/>
        <v>4.7167686594665637E-2</v>
      </c>
      <c r="N18" s="72">
        <f t="shared" si="8"/>
        <v>4.5280979130879008E-2</v>
      </c>
      <c r="O18" s="72">
        <f t="shared" si="8"/>
        <v>4.3469739965643843E-2</v>
      </c>
      <c r="P18" s="72">
        <f>O18*$C18</f>
        <v>4.1730950367018085E-2</v>
      </c>
      <c r="Q18" s="72"/>
    </row>
    <row r="19" spans="1:18" ht="17" thickBot="1" x14ac:dyDescent="0.25">
      <c r="A19" s="2"/>
      <c r="E19" s="51" t="s">
        <v>10</v>
      </c>
      <c r="F19" s="52"/>
      <c r="G19" s="53">
        <f>G15/(1+$C$55)</f>
        <v>2.1671498406290337</v>
      </c>
      <c r="H19" s="53">
        <f>H15/(1+$C$55)^2</f>
        <v>2.1736233911342495</v>
      </c>
      <c r="I19" s="53">
        <f>I15/(1+$C$55)^3</f>
        <v>2.1628609478745644</v>
      </c>
      <c r="J19" s="53">
        <f>J15/(1+$C$55)^4</f>
        <v>2.5285451823142804</v>
      </c>
      <c r="K19" s="53">
        <f>K15/(1+$C$55)^5</f>
        <v>2.5045658104476978</v>
      </c>
      <c r="L19" s="53">
        <f>L15/(1+$C$55)^6</f>
        <v>2.4853932661613061</v>
      </c>
      <c r="M19" s="53">
        <f>M15/(1+$C$55)^7</f>
        <v>2.4661479825849559</v>
      </c>
      <c r="N19" s="53">
        <f>N15/(1+$C$55)^8</f>
        <v>2.4195513595129952</v>
      </c>
      <c r="O19" s="53">
        <f>O15/(1+$C$55)^9</f>
        <v>2.3692919309677762</v>
      </c>
      <c r="P19" s="53">
        <f>P15/(1+$C$55)^10</f>
        <v>2.3130394152702651</v>
      </c>
      <c r="Q19" s="54">
        <f>(Q15/(C55-Q12))/(1+C55)^10</f>
        <v>52.283661021067488</v>
      </c>
    </row>
    <row r="20" spans="1:18" x14ac:dyDescent="0.2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x14ac:dyDescent="0.2">
      <c r="A21" s="2"/>
      <c r="J21" s="101"/>
      <c r="K21" s="101"/>
      <c r="L21" s="101"/>
      <c r="M21" s="101"/>
      <c r="N21" s="101"/>
      <c r="O21" s="101"/>
      <c r="P21" s="101"/>
      <c r="Q21" s="101"/>
      <c r="R21" s="3"/>
    </row>
    <row r="22" spans="1:18" ht="17" thickBot="1" x14ac:dyDescent="0.25">
      <c r="P22" s="3"/>
      <c r="Q22" s="3"/>
      <c r="R22" s="3"/>
    </row>
    <row r="23" spans="1:18" x14ac:dyDescent="0.2">
      <c r="A23" s="32" t="s">
        <v>22</v>
      </c>
      <c r="B23" s="33"/>
      <c r="C23" s="33"/>
      <c r="D23" s="34"/>
      <c r="E23" s="23"/>
      <c r="F23" s="33"/>
      <c r="G23" s="90" t="s">
        <v>23</v>
      </c>
      <c r="H23" s="91"/>
      <c r="I23" s="92">
        <v>3.7499999999999999E-2</v>
      </c>
      <c r="J23" s="24" t="s">
        <v>24</v>
      </c>
    </row>
    <row r="24" spans="1:18" x14ac:dyDescent="0.2">
      <c r="A24" s="35"/>
      <c r="B24" s="36"/>
      <c r="C24" s="36"/>
      <c r="D24" s="37"/>
      <c r="E24" s="36"/>
      <c r="F24" s="36"/>
      <c r="G24" s="93"/>
      <c r="H24" s="6"/>
      <c r="I24" s="94"/>
      <c r="J24" s="26"/>
    </row>
    <row r="25" spans="1:18" x14ac:dyDescent="0.2">
      <c r="A25" s="35"/>
      <c r="B25" s="36"/>
      <c r="C25" s="36"/>
      <c r="D25" s="38"/>
      <c r="F25" s="36"/>
      <c r="G25" s="93" t="s">
        <v>25</v>
      </c>
      <c r="H25" s="6"/>
      <c r="I25" s="95">
        <f>(I27-I23)*I29</f>
        <v>2.7625000000000007E-2</v>
      </c>
      <c r="J25" s="26"/>
    </row>
    <row r="26" spans="1:18" x14ac:dyDescent="0.2">
      <c r="A26" s="35"/>
      <c r="B26" s="36"/>
      <c r="C26" s="36"/>
      <c r="D26" s="38"/>
      <c r="F26" s="36"/>
      <c r="G26" s="93"/>
      <c r="H26" s="6"/>
      <c r="I26" s="94"/>
      <c r="J26" s="26"/>
    </row>
    <row r="27" spans="1:18" x14ac:dyDescent="0.2">
      <c r="A27" s="35"/>
      <c r="B27" s="36"/>
      <c r="C27" s="36"/>
      <c r="D27" s="38"/>
      <c r="F27" s="36"/>
      <c r="G27" s="93" t="s">
        <v>26</v>
      </c>
      <c r="H27" s="6"/>
      <c r="I27" s="96">
        <v>7.0000000000000007E-2</v>
      </c>
      <c r="J27" s="26" t="s">
        <v>27</v>
      </c>
    </row>
    <row r="28" spans="1:18" x14ac:dyDescent="0.2">
      <c r="A28" s="35"/>
      <c r="B28" s="36"/>
      <c r="C28" s="36"/>
      <c r="D28" s="39"/>
      <c r="F28" s="36"/>
      <c r="G28" s="93"/>
      <c r="H28" s="6"/>
      <c r="I28" s="94"/>
      <c r="J28" s="26"/>
    </row>
    <row r="29" spans="1:18" x14ac:dyDescent="0.2">
      <c r="A29" s="35"/>
      <c r="B29" s="36"/>
      <c r="C29" s="36"/>
      <c r="D29" s="39"/>
      <c r="F29" s="36"/>
      <c r="G29" s="93" t="s">
        <v>32</v>
      </c>
      <c r="H29" s="6"/>
      <c r="I29" s="79">
        <v>0.85</v>
      </c>
      <c r="J29" s="26" t="s">
        <v>28</v>
      </c>
    </row>
    <row r="30" spans="1:18" x14ac:dyDescent="0.2">
      <c r="A30" s="35"/>
      <c r="B30" s="36"/>
      <c r="C30" s="36"/>
      <c r="D30" s="40"/>
      <c r="F30" s="36"/>
      <c r="G30" s="93"/>
      <c r="H30" s="6"/>
      <c r="I30" s="94"/>
      <c r="J30" s="26"/>
    </row>
    <row r="31" spans="1:18" x14ac:dyDescent="0.2">
      <c r="A31" s="35"/>
      <c r="B31" s="36"/>
      <c r="C31" s="36"/>
      <c r="D31" s="37"/>
      <c r="F31" s="36"/>
      <c r="G31" s="93" t="s">
        <v>29</v>
      </c>
      <c r="H31" s="6"/>
      <c r="I31" s="96">
        <f>I23+(I27-I23)*I29</f>
        <v>6.5125000000000002E-2</v>
      </c>
      <c r="J31" s="26" t="s">
        <v>30</v>
      </c>
    </row>
    <row r="32" spans="1:18" x14ac:dyDescent="0.2">
      <c r="A32" s="25"/>
      <c r="C32" s="41"/>
      <c r="E32" s="36"/>
      <c r="F32" s="36"/>
      <c r="G32" s="93"/>
      <c r="H32" s="6"/>
      <c r="I32" s="6"/>
      <c r="J32" s="26"/>
    </row>
    <row r="33" spans="1:10" x14ac:dyDescent="0.2">
      <c r="A33" s="25"/>
      <c r="G33" s="97" t="s">
        <v>31</v>
      </c>
      <c r="H33" s="98"/>
      <c r="I33" s="99">
        <f>I31</f>
        <v>6.5125000000000002E-2</v>
      </c>
      <c r="J33" s="26"/>
    </row>
    <row r="34" spans="1:10" x14ac:dyDescent="0.2">
      <c r="A34" s="35" t="s">
        <v>6</v>
      </c>
      <c r="B34" s="36"/>
      <c r="C34" s="42"/>
      <c r="D34" s="27"/>
      <c r="G34" s="93"/>
      <c r="H34" s="6"/>
      <c r="I34" s="6"/>
      <c r="J34" s="26"/>
    </row>
    <row r="35" spans="1:10" ht="11" hidden="1" customHeight="1" x14ac:dyDescent="0.2">
      <c r="A35" s="25"/>
      <c r="G35" s="25"/>
      <c r="J35" s="26"/>
    </row>
    <row r="36" spans="1:10" ht="11" hidden="1" customHeight="1" x14ac:dyDescent="0.2">
      <c r="A36" s="25"/>
      <c r="B36" s="1" t="s">
        <v>7</v>
      </c>
      <c r="D36" s="43">
        <v>0.08</v>
      </c>
      <c r="G36" s="25"/>
      <c r="J36" s="26"/>
    </row>
    <row r="37" spans="1:10" ht="11" hidden="1" customHeight="1" x14ac:dyDescent="0.2">
      <c r="A37" s="25"/>
      <c r="G37" s="25"/>
      <c r="J37" s="26"/>
    </row>
    <row r="38" spans="1:10" ht="11" hidden="1" customHeight="1" x14ac:dyDescent="0.2">
      <c r="A38" s="25"/>
      <c r="G38" s="25"/>
      <c r="J38" s="26"/>
    </row>
    <row r="39" spans="1:10" ht="11" hidden="1" customHeight="1" x14ac:dyDescent="0.2">
      <c r="A39" s="25"/>
      <c r="G39" s="25"/>
      <c r="J39" s="26"/>
    </row>
    <row r="40" spans="1:10" ht="11" hidden="1" x14ac:dyDescent="0.2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t="11" hidden="1" x14ac:dyDescent="0.2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t="11" hidden="1" x14ac:dyDescent="0.2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t="11" hidden="1" x14ac:dyDescent="0.2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t="11" hidden="1" x14ac:dyDescent="0.2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">
      <c r="A45" s="25"/>
      <c r="G45" s="25"/>
      <c r="J45" s="26"/>
    </row>
    <row r="46" spans="1:10" ht="17" thickBot="1" x14ac:dyDescent="0.25">
      <c r="A46" s="28"/>
      <c r="B46" s="29" t="s">
        <v>18</v>
      </c>
      <c r="C46" s="29"/>
      <c r="D46" s="44">
        <f>I33</f>
        <v>6.5125000000000002E-2</v>
      </c>
      <c r="E46" s="29"/>
      <c r="F46" s="29"/>
      <c r="G46" s="28"/>
      <c r="H46" s="29"/>
      <c r="I46" s="29"/>
      <c r="J46" s="30"/>
    </row>
    <row r="47" spans="1:10" x14ac:dyDescent="0.2"/>
    <row r="48" spans="1:10" x14ac:dyDescent="0.2">
      <c r="A48" s="16"/>
      <c r="B48" s="17"/>
      <c r="C48" s="83">
        <f>Pessimistisch!C48</f>
        <v>45205</v>
      </c>
      <c r="D48" s="18" t="s">
        <v>3</v>
      </c>
      <c r="E48" s="19"/>
      <c r="F48" s="20"/>
      <c r="G48" s="21"/>
      <c r="H48" s="21"/>
      <c r="I48" s="21"/>
    </row>
    <row r="49" spans="1:17" ht="17" x14ac:dyDescent="0.2">
      <c r="A49" s="45" t="s">
        <v>0</v>
      </c>
      <c r="B49" s="46" t="str">
        <f>Pessimistisch!B49</f>
        <v>Marktkapitalisierung, Mrd.</v>
      </c>
      <c r="C49" s="56">
        <f>C50*C51</f>
        <v>54.362063235299999</v>
      </c>
      <c r="D49" s="47">
        <f>SUM(G19:Q19)</f>
        <v>75.873830147964611</v>
      </c>
      <c r="E49" s="46"/>
    </row>
    <row r="50" spans="1:17" x14ac:dyDescent="0.2">
      <c r="A50" s="45"/>
      <c r="B50" s="46" t="str">
        <f>Pessimistisch!B50</f>
        <v>Anzahl Aktien gesamt, Mrd.</v>
      </c>
      <c r="C50" s="56">
        <f>Pessimistisch!C50</f>
        <v>6.0258341999999999E-2</v>
      </c>
      <c r="D50" s="56">
        <f>C50</f>
        <v>6.0258341999999999E-2</v>
      </c>
      <c r="E50" s="46"/>
    </row>
    <row r="51" spans="1:17" x14ac:dyDescent="0.2">
      <c r="A51" s="45"/>
      <c r="B51" s="46" t="s">
        <v>11</v>
      </c>
      <c r="C51" s="56">
        <f>Pessimistisch!C51</f>
        <v>902.15</v>
      </c>
      <c r="D51" s="56">
        <f>D49/(D50)</f>
        <v>1259.1423465976645</v>
      </c>
      <c r="E51" s="46"/>
    </row>
    <row r="52" spans="1:17" x14ac:dyDescent="0.2">
      <c r="A52" s="45"/>
      <c r="B52" s="46" t="s">
        <v>2</v>
      </c>
      <c r="C52" s="46"/>
      <c r="D52" s="57">
        <f>IF(C51/D51-1&gt;0,0,C51/D51-1)*-1</f>
        <v>0.28352024500033335</v>
      </c>
      <c r="E52" s="46"/>
    </row>
    <row r="53" spans="1:17" x14ac:dyDescent="0.2">
      <c r="A53" s="45"/>
      <c r="B53" s="46" t="s">
        <v>12</v>
      </c>
      <c r="C53" s="46"/>
      <c r="D53" s="58">
        <f>IF(C51/D51-1&lt;0,0,C51/D51-1)</f>
        <v>0</v>
      </c>
      <c r="E53" s="46"/>
    </row>
    <row r="54" spans="1:17" x14ac:dyDescent="0.2">
      <c r="A54" s="46"/>
      <c r="B54" s="46"/>
      <c r="C54" s="46"/>
      <c r="D54" s="48"/>
      <c r="E54" s="48"/>
    </row>
    <row r="55" spans="1:17" x14ac:dyDescent="0.2">
      <c r="A55" s="48" t="s">
        <v>17</v>
      </c>
      <c r="B55" s="46"/>
      <c r="C55" s="50">
        <f>D46</f>
        <v>6.5125000000000002E-2</v>
      </c>
      <c r="D55" s="49"/>
      <c r="E55" s="46"/>
      <c r="J55" s="70"/>
    </row>
    <row r="56" spans="1:17" x14ac:dyDescent="0.2">
      <c r="A56" s="48"/>
      <c r="B56" s="46"/>
      <c r="C56" s="50"/>
      <c r="D56" s="49"/>
      <c r="E56" s="46"/>
    </row>
    <row r="57" spans="1:17" hidden="1" x14ac:dyDescent="0.2">
      <c r="A57" s="48" t="s">
        <v>20</v>
      </c>
      <c r="B57" s="73">
        <v>0.108</v>
      </c>
      <c r="C57" s="50"/>
      <c r="D57" s="74">
        <f>SUM(H57:Q57)*1000</f>
        <v>35554.362005827999</v>
      </c>
      <c r="E57" s="46"/>
      <c r="F57" s="1" t="s">
        <v>21</v>
      </c>
      <c r="H57" s="1">
        <f>G15/(1+$B$57)</f>
        <v>2.0832901389891694</v>
      </c>
      <c r="I57" s="1">
        <f>H15/(1+$B$57)^2</f>
        <v>2.0086577043881704</v>
      </c>
      <c r="J57" s="1">
        <f>I15/(1+$B$57)^3</f>
        <v>1.9213702103394219</v>
      </c>
      <c r="K57" s="1">
        <f>J15/(1+$B$57)^4</f>
        <v>2.1593049984825625</v>
      </c>
      <c r="L57" s="1">
        <f>K15/(1+$B$57)^5</f>
        <v>2.0560635662576003</v>
      </c>
      <c r="M57" s="1">
        <f>L15/(1+$B$57)^6</f>
        <v>1.9613722426542974</v>
      </c>
      <c r="N57" s="1">
        <f>M15/(1+$B$57)^7</f>
        <v>1.870875374398187</v>
      </c>
      <c r="O57" s="1">
        <f>N15/(1+$B$57)^8</f>
        <v>1.7644988865037048</v>
      </c>
      <c r="P57" s="1">
        <f>O15/(1+$B$57)^9</f>
        <v>1.6609858651835407</v>
      </c>
      <c r="Q57" s="1">
        <f>(Q15/(B57-Q12))/(1+B57)^10</f>
        <v>18.06794301863134</v>
      </c>
    </row>
    <row r="58" spans="1:17" ht="17" thickBot="1" x14ac:dyDescent="0.25">
      <c r="A58" s="22"/>
      <c r="C58" s="65"/>
      <c r="D58" s="66"/>
    </row>
    <row r="59" spans="1:17" x14ac:dyDescent="0.2">
      <c r="A59" s="59" t="str">
        <f>"KGV Multiple in "&amp;P10</f>
        <v>KGV Multiple in 2032</v>
      </c>
      <c r="B59" s="23"/>
      <c r="C59" s="67">
        <v>22</v>
      </c>
      <c r="D59" s="23"/>
      <c r="E59" s="24"/>
    </row>
    <row r="60" spans="1:17" x14ac:dyDescent="0.2">
      <c r="A60" s="25" t="s">
        <v>19</v>
      </c>
      <c r="C60" s="68"/>
      <c r="E60" s="26"/>
    </row>
    <row r="61" spans="1:17" x14ac:dyDescent="0.2">
      <c r="A61" s="25"/>
      <c r="C61" s="68"/>
      <c r="E61" s="26"/>
    </row>
    <row r="62" spans="1:17" x14ac:dyDescent="0.2">
      <c r="A62" s="25" t="s">
        <v>34</v>
      </c>
      <c r="C62" s="68"/>
      <c r="E62" s="60">
        <f>P17*C59</f>
        <v>2291.6760291951814</v>
      </c>
    </row>
    <row r="63" spans="1:17" x14ac:dyDescent="0.2">
      <c r="A63" s="25"/>
      <c r="C63" s="68"/>
      <c r="E63" s="26"/>
    </row>
    <row r="64" spans="1:17" x14ac:dyDescent="0.2">
      <c r="A64" s="25" t="s">
        <v>15</v>
      </c>
      <c r="C64" s="69">
        <v>0</v>
      </c>
      <c r="E64" s="26"/>
    </row>
    <row r="65" spans="1:5" x14ac:dyDescent="0.2">
      <c r="A65" s="25"/>
      <c r="E65" s="26"/>
    </row>
    <row r="66" spans="1:5" x14ac:dyDescent="0.2">
      <c r="A66" s="25" t="s">
        <v>16</v>
      </c>
      <c r="E66" s="60">
        <f>SUM(G17:Q17)*C64</f>
        <v>0</v>
      </c>
    </row>
    <row r="67" spans="1:5" x14ac:dyDescent="0.2">
      <c r="A67" s="25"/>
      <c r="E67" s="61"/>
    </row>
    <row r="68" spans="1:5" x14ac:dyDescent="0.2">
      <c r="A68" s="102" t="s">
        <v>37</v>
      </c>
      <c r="E68" s="103">
        <f>(E66*0.15)*-1</f>
        <v>0</v>
      </c>
    </row>
    <row r="69" spans="1:5" x14ac:dyDescent="0.2">
      <c r="A69" s="25"/>
      <c r="C69" s="41"/>
      <c r="D69" s="41"/>
      <c r="E69" s="62"/>
    </row>
    <row r="70" spans="1:5" x14ac:dyDescent="0.2">
      <c r="A70" s="25" t="str">
        <f>"Gesamtwert "&amp;P10</f>
        <v>Gesamtwert 2032</v>
      </c>
      <c r="E70" s="60">
        <f>SUM(E62:E68)</f>
        <v>2291.6760291951814</v>
      </c>
    </row>
    <row r="71" spans="1:5" x14ac:dyDescent="0.2">
      <c r="A71" s="25"/>
      <c r="E71" s="60"/>
    </row>
    <row r="72" spans="1:5" x14ac:dyDescent="0.2">
      <c r="A72" s="25" t="str">
        <f>"Steigerung Gesamt bis "&amp;P10&amp;" in Prozent"</f>
        <v>Steigerung Gesamt bis 2032 in Prozent</v>
      </c>
      <c r="E72" s="62">
        <f>E70/C51-1</f>
        <v>1.540238351931698</v>
      </c>
    </row>
    <row r="73" spans="1:5" x14ac:dyDescent="0.2">
      <c r="A73" s="25"/>
      <c r="E73" s="26"/>
    </row>
    <row r="74" spans="1:5" ht="17" thickBot="1" x14ac:dyDescent="0.25">
      <c r="A74" s="63" t="str">
        <f>"Renditeerwartung bis "&amp;P10&amp;" pro Jahr"</f>
        <v>Renditeerwartung bis 2032 pro Jahr</v>
      </c>
      <c r="B74" s="64"/>
      <c r="C74" s="64"/>
      <c r="D74" s="64"/>
      <c r="E74" s="104">
        <f>(E70/C51)^(1/10)-1</f>
        <v>9.7709560883461943E-2</v>
      </c>
    </row>
    <row r="75" spans="1:5" x14ac:dyDescent="0.2"/>
  </sheetData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conditionalFormatting sqref="G6:J8">
    <cfRule type="top10" dxfId="7" priority="5" percent="1" rank="10"/>
  </conditionalFormatting>
  <conditionalFormatting sqref="K9">
    <cfRule type="top10" dxfId="6" priority="4" percent="1" rank="10"/>
  </conditionalFormatting>
  <conditionalFormatting sqref="L2:L5">
    <cfRule type="top10" dxfId="5" priority="3" percent="1" rank="10"/>
  </conditionalFormatting>
  <conditionalFormatting sqref="L6:L8">
    <cfRule type="top10" dxfId="4" priority="6" percent="1" rank="10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52E19-683E-48EC-9C64-69D5A2053526}">
  <dimension ref="A1:AB75"/>
  <sheetViews>
    <sheetView topLeftCell="A20" zoomScaleNormal="100" workbookViewId="0">
      <selection activeCell="C60" sqref="C60"/>
    </sheetView>
  </sheetViews>
  <sheetFormatPr baseColWidth="10" defaultColWidth="0" defaultRowHeight="16" zeroHeight="1" x14ac:dyDescent="0.2"/>
  <cols>
    <col min="1" max="1" width="27" style="1" bestFit="1" customWidth="1"/>
    <col min="2" max="2" width="32.33203125" style="1" customWidth="1"/>
    <col min="3" max="17" width="16.1640625" style="1" customWidth="1"/>
    <col min="18" max="18" width="10.5" style="1" customWidth="1"/>
    <col min="19" max="28" width="0" style="1" hidden="1" customWidth="1"/>
    <col min="29" max="16384" width="10.5" style="1" hidden="1"/>
  </cols>
  <sheetData>
    <row r="1" spans="1:28" x14ac:dyDescent="0.2"/>
    <row r="2" spans="1:28" ht="26" x14ac:dyDescent="0.3">
      <c r="B2" s="31" t="s">
        <v>9</v>
      </c>
    </row>
    <row r="3" spans="1:28" x14ac:dyDescent="0.2"/>
    <row r="4" spans="1:28" x14ac:dyDescent="0.2">
      <c r="B4" s="22" t="str">
        <f>Pessimistisch!B4</f>
        <v>Annahmen für O'Reilly Automotive</v>
      </c>
    </row>
    <row r="5" spans="1:28" x14ac:dyDescent="0.2"/>
    <row r="6" spans="1:28" x14ac:dyDescent="0.2">
      <c r="B6" s="1" t="str">
        <f>Pessimistisch!B6</f>
        <v>Alle Angaben in Mrd.</v>
      </c>
    </row>
    <row r="7" spans="1:28" x14ac:dyDescent="0.2"/>
    <row r="8" spans="1:28" x14ac:dyDescent="0.2"/>
    <row r="9" spans="1:28" s="8" customFormat="1" x14ac:dyDescent="0.2">
      <c r="G9" s="9" t="s">
        <v>8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">
      <c r="A10" s="4"/>
      <c r="B10" s="4"/>
      <c r="C10" s="11">
        <f>Pessimistisch!C10</f>
        <v>2019</v>
      </c>
      <c r="D10" s="11">
        <f>Pessimistisch!D10</f>
        <v>2020</v>
      </c>
      <c r="E10" s="11">
        <f>Pessimistisch!E10</f>
        <v>2021</v>
      </c>
      <c r="F10" s="11">
        <f>Pessimistisch!F10</f>
        <v>2022</v>
      </c>
      <c r="G10" s="55">
        <f>Pessimistisch!G10</f>
        <v>2023</v>
      </c>
      <c r="H10" s="55">
        <f>Pessimistisch!H10</f>
        <v>2024</v>
      </c>
      <c r="I10" s="55">
        <f>Pessimistisch!I10</f>
        <v>2025</v>
      </c>
      <c r="J10" s="55">
        <f>Pessimistisch!J10</f>
        <v>2026</v>
      </c>
      <c r="K10" s="55">
        <f>Pessimistisch!K10</f>
        <v>2027</v>
      </c>
      <c r="L10" s="55">
        <f>Pessimistisch!L10</f>
        <v>2028</v>
      </c>
      <c r="M10" s="55">
        <f>Pessimistisch!M10</f>
        <v>2029</v>
      </c>
      <c r="N10" s="55">
        <f>Pessimistisch!N10</f>
        <v>2030</v>
      </c>
      <c r="O10" s="55">
        <f>Pessimistisch!O10</f>
        <v>2031</v>
      </c>
      <c r="P10" s="55">
        <f>Pessimistisch!P10</f>
        <v>2032</v>
      </c>
      <c r="Q10" s="55" t="str">
        <f>Pessimistisch!Q10</f>
        <v>2033ff.</v>
      </c>
    </row>
    <row r="11" spans="1:28" x14ac:dyDescent="0.2">
      <c r="A11" s="5"/>
      <c r="B11" s="4" t="s">
        <v>4</v>
      </c>
      <c r="C11" s="82">
        <f>Pessimistisch!C11</f>
        <v>10.149984999999999</v>
      </c>
      <c r="D11" s="82">
        <f>Pessimistisch!D11</f>
        <v>11.604493</v>
      </c>
      <c r="E11" s="82">
        <f>Pessimistisch!E11</f>
        <v>13.327563</v>
      </c>
      <c r="F11" s="82">
        <f>Pessimistisch!F11</f>
        <v>14.40986</v>
      </c>
      <c r="G11" s="72">
        <f>F11*(1+G12)</f>
        <v>14.698057200000001</v>
      </c>
      <c r="H11" s="72">
        <f t="shared" ref="H11:J11" si="0">G11*(1+H12)</f>
        <v>14.992018344000002</v>
      </c>
      <c r="I11" s="72">
        <f t="shared" si="0"/>
        <v>15.291858710880001</v>
      </c>
      <c r="J11" s="72">
        <f t="shared" si="0"/>
        <v>15.597695885097602</v>
      </c>
      <c r="K11" s="72">
        <f>J11*(1+K12)</f>
        <v>15.909649802799555</v>
      </c>
      <c r="L11" s="72">
        <f t="shared" ref="L11:Q11" si="1">K11*(1+L12)</f>
        <v>16.227842798855548</v>
      </c>
      <c r="M11" s="72">
        <f t="shared" si="1"/>
        <v>16.552399654832659</v>
      </c>
      <c r="N11" s="72">
        <f t="shared" si="1"/>
        <v>16.883447647929312</v>
      </c>
      <c r="O11" s="72">
        <f t="shared" si="1"/>
        <v>17.2211166008879</v>
      </c>
      <c r="P11" s="72">
        <f t="shared" si="1"/>
        <v>17.565538932905657</v>
      </c>
      <c r="Q11" s="72">
        <f t="shared" si="1"/>
        <v>17.916849711563771</v>
      </c>
    </row>
    <row r="12" spans="1:28" x14ac:dyDescent="0.2">
      <c r="A12" s="5"/>
      <c r="B12" s="4" t="s">
        <v>1</v>
      </c>
      <c r="C12" s="86"/>
      <c r="D12" s="89">
        <f>D11/C11-1</f>
        <v>0.14330149256378211</v>
      </c>
      <c r="E12" s="89">
        <f>E11/D11-1</f>
        <v>0.14848300567719752</v>
      </c>
      <c r="F12" s="89">
        <f>F11/E11-1</f>
        <v>8.1207419540991976E-2</v>
      </c>
      <c r="G12" s="85">
        <v>0.02</v>
      </c>
      <c r="H12" s="85">
        <f>G12</f>
        <v>0.02</v>
      </c>
      <c r="I12" s="85">
        <f t="shared" ref="I12:P12" si="2">H12</f>
        <v>0.02</v>
      </c>
      <c r="J12" s="85">
        <f t="shared" si="2"/>
        <v>0.02</v>
      </c>
      <c r="K12" s="85">
        <f t="shared" si="2"/>
        <v>0.02</v>
      </c>
      <c r="L12" s="85">
        <f t="shared" si="2"/>
        <v>0.02</v>
      </c>
      <c r="M12" s="85">
        <f t="shared" si="2"/>
        <v>0.02</v>
      </c>
      <c r="N12" s="85">
        <f t="shared" si="2"/>
        <v>0.02</v>
      </c>
      <c r="O12" s="85">
        <f t="shared" si="2"/>
        <v>0.02</v>
      </c>
      <c r="P12" s="85">
        <f t="shared" si="2"/>
        <v>0.02</v>
      </c>
      <c r="Q12" s="85">
        <f>Optimistisch!Q12</f>
        <v>0.02</v>
      </c>
    </row>
    <row r="13" spans="1:28" ht="16" customHeight="1" x14ac:dyDescent="0.2">
      <c r="A13" s="5"/>
      <c r="B13" s="4" t="s">
        <v>13</v>
      </c>
      <c r="C13" s="88">
        <f>C14/C11</f>
        <v>0.18923436832665272</v>
      </c>
      <c r="D13" s="88">
        <f t="shared" ref="D13:F13" si="3">D14/D11</f>
        <v>0.20848269717599899</v>
      </c>
      <c r="E13" s="88">
        <f t="shared" si="3"/>
        <v>0.21888232679898045</v>
      </c>
      <c r="F13" s="88">
        <f t="shared" si="3"/>
        <v>0.2050325957365304</v>
      </c>
      <c r="G13" s="84">
        <f>(Pessimistisch!G13+Optimistisch!G13)/2</f>
        <v>0.2016</v>
      </c>
      <c r="H13" s="84">
        <f>(Pessimistisch!H13+Optimistisch!H13)/2</f>
        <v>0.20380000000000001</v>
      </c>
      <c r="I13" s="84">
        <f>(Pessimistisch!I13+Optimistisch!I13)/2</f>
        <v>0.20499999999999999</v>
      </c>
      <c r="J13" s="84">
        <f>(Pessimistisch!J13+Optimistisch!J13)/2</f>
        <v>0.20200000000000001</v>
      </c>
      <c r="K13" s="84">
        <f>(Pessimistisch!K13+Optimistisch!K13)/2</f>
        <v>0.2</v>
      </c>
      <c r="L13" s="84">
        <f>(Pessimistisch!L13+Optimistisch!L13)/2</f>
        <v>0.19850000000000001</v>
      </c>
      <c r="M13" s="84">
        <f>(Pessimistisch!M13+Optimistisch!M13)/2</f>
        <v>0.19950000000000001</v>
      </c>
      <c r="N13" s="84">
        <f>(Pessimistisch!N13+Optimistisch!N13)/2</f>
        <v>0.19700000000000001</v>
      </c>
      <c r="O13" s="84">
        <f>(Pessimistisch!O13+Optimistisch!O13)/2</f>
        <v>0.19700000000000001</v>
      </c>
      <c r="P13" s="84">
        <f>(Pessimistisch!P13+Optimistisch!P13)/2</f>
        <v>0.19500000000000001</v>
      </c>
      <c r="Q13" s="84">
        <f>(Pessimistisch!Q13+Optimistisch!Q13)/2</f>
        <v>0.19500000000000001</v>
      </c>
    </row>
    <row r="14" spans="1:28" ht="17.25" customHeight="1" x14ac:dyDescent="0.2">
      <c r="A14" s="5"/>
      <c r="B14" s="4" t="s">
        <v>14</v>
      </c>
      <c r="C14" s="82">
        <f>Pessimistisch!C14</f>
        <v>1.9207259999999999</v>
      </c>
      <c r="D14" s="82">
        <f>Pessimistisch!D14</f>
        <v>2.4193359999999999</v>
      </c>
      <c r="E14" s="82">
        <f>Pessimistisch!E14</f>
        <v>2.9171680000000002</v>
      </c>
      <c r="F14" s="82">
        <f>Pessimistisch!F14</f>
        <v>2.954491</v>
      </c>
      <c r="G14" s="72">
        <f t="shared" ref="G14:J14" si="4">G11*G13</f>
        <v>2.9631283315200001</v>
      </c>
      <c r="H14" s="72">
        <f t="shared" si="4"/>
        <v>3.0553733385072004</v>
      </c>
      <c r="I14" s="72">
        <f t="shared" si="4"/>
        <v>3.1348310357304001</v>
      </c>
      <c r="J14" s="72">
        <f t="shared" si="4"/>
        <v>3.1507345687897157</v>
      </c>
      <c r="K14" s="72">
        <f t="shared" ref="K14:Q14" si="5">K11*K13</f>
        <v>3.181929960559911</v>
      </c>
      <c r="L14" s="72">
        <f t="shared" si="5"/>
        <v>3.2212267955728264</v>
      </c>
      <c r="M14" s="72">
        <f t="shared" si="5"/>
        <v>3.3022037311391155</v>
      </c>
      <c r="N14" s="72">
        <f t="shared" si="5"/>
        <v>3.3260391866420749</v>
      </c>
      <c r="O14" s="72">
        <f>O11*O13</f>
        <v>3.3925599703749163</v>
      </c>
      <c r="P14" s="72">
        <f t="shared" si="5"/>
        <v>3.4252800919166031</v>
      </c>
      <c r="Q14" s="72">
        <f t="shared" si="5"/>
        <v>3.4937856937549352</v>
      </c>
    </row>
    <row r="15" spans="1:28" x14ac:dyDescent="0.2">
      <c r="A15" s="100">
        <v>0.15</v>
      </c>
      <c r="B15" s="4" t="s">
        <v>36</v>
      </c>
      <c r="C15" s="82">
        <f>Pessimistisch!C15</f>
        <v>1.3910419999999999</v>
      </c>
      <c r="D15" s="82">
        <f>Pessimistisch!D15</f>
        <v>1.752302</v>
      </c>
      <c r="E15" s="82">
        <f>Pessimistisch!E15</f>
        <v>2.164685</v>
      </c>
      <c r="F15" s="82">
        <f>Pessimistisch!F15</f>
        <v>2.17265</v>
      </c>
      <c r="G15" s="72">
        <f>G14*(1-$A$15)</f>
        <v>2.5186590817919998</v>
      </c>
      <c r="H15" s="72">
        <f>H14*(1-$A$15)</f>
        <v>2.5970673377311204</v>
      </c>
      <c r="I15" s="72">
        <f>I14*(1-$A$15)</f>
        <v>2.6646063803708402</v>
      </c>
      <c r="J15" s="72">
        <f>J14*(1-$A$15)</f>
        <v>2.6781243834712583</v>
      </c>
      <c r="K15" s="72">
        <f>K14*(1-$A$15)</f>
        <v>2.704640466475924</v>
      </c>
      <c r="L15" s="72">
        <f t="shared" ref="L15:Q15" si="6">L14*(1-$A$15)</f>
        <v>2.7380427762369024</v>
      </c>
      <c r="M15" s="72">
        <f t="shared" si="6"/>
        <v>2.806873171468248</v>
      </c>
      <c r="N15" s="72">
        <f t="shared" si="6"/>
        <v>2.8271333086457635</v>
      </c>
      <c r="O15" s="72">
        <f>O14*(1-$A$15)</f>
        <v>2.8836759748186789</v>
      </c>
      <c r="P15" s="72">
        <f t="shared" si="6"/>
        <v>2.9114880781291124</v>
      </c>
      <c r="Q15" s="72">
        <f t="shared" si="6"/>
        <v>2.969717839691695</v>
      </c>
    </row>
    <row r="16" spans="1:28" ht="22" hidden="1" thickBot="1" x14ac:dyDescent="0.25">
      <c r="A16" s="13" t="s">
        <v>5</v>
      </c>
      <c r="B16" s="14"/>
      <c r="C16" s="15">
        <f t="shared" ref="C16:J16" si="7">C15/C14</f>
        <v>0.72422719325921547</v>
      </c>
      <c r="D16" s="15">
        <f t="shared" si="7"/>
        <v>0.72429046647509898</v>
      </c>
      <c r="E16" s="15">
        <f t="shared" si="7"/>
        <v>0.74205016646281596</v>
      </c>
      <c r="F16" s="15">
        <f t="shared" si="7"/>
        <v>0.73537201501036897</v>
      </c>
      <c r="G16" s="15">
        <f t="shared" si="7"/>
        <v>0.84999999999999987</v>
      </c>
      <c r="H16" s="15">
        <f t="shared" si="7"/>
        <v>0.85</v>
      </c>
      <c r="I16" s="15">
        <f t="shared" si="7"/>
        <v>0.85</v>
      </c>
      <c r="J16" s="15">
        <f t="shared" si="7"/>
        <v>0.85</v>
      </c>
    </row>
    <row r="17" spans="1:18" ht="17" x14ac:dyDescent="0.2">
      <c r="A17" s="2" t="s">
        <v>33</v>
      </c>
      <c r="C17" s="82"/>
      <c r="D17" s="82"/>
      <c r="E17" s="82"/>
      <c r="F17" s="82"/>
      <c r="G17" s="72">
        <f>G15/G18</f>
        <v>41.797683079166035</v>
      </c>
      <c r="H17" s="72">
        <f t="shared" ref="H17:O17" si="8">H15/H18</f>
        <v>44.894671625768439</v>
      </c>
      <c r="I17" s="72">
        <f t="shared" si="8"/>
        <v>47.981455659900327</v>
      </c>
      <c r="J17" s="72">
        <f t="shared" si="8"/>
        <v>50.234243517102975</v>
      </c>
      <c r="K17" s="72">
        <f t="shared" si="8"/>
        <v>52.845429442496936</v>
      </c>
      <c r="L17" s="72">
        <f t="shared" si="8"/>
        <v>55.727156766783111</v>
      </c>
      <c r="M17" s="72">
        <f t="shared" si="8"/>
        <v>59.508391742614897</v>
      </c>
      <c r="N17" s="72">
        <f t="shared" si="8"/>
        <v>62.435339582085632</v>
      </c>
      <c r="O17" s="72">
        <f t="shared" si="8"/>
        <v>66.337548305965996</v>
      </c>
      <c r="P17" s="72">
        <f>P15/P18</f>
        <v>69.768075074326532</v>
      </c>
      <c r="Q17" s="72"/>
    </row>
    <row r="18" spans="1:18" ht="35" thickBot="1" x14ac:dyDescent="0.25">
      <c r="A18" s="2" t="s">
        <v>35</v>
      </c>
      <c r="C18" s="107">
        <v>0.96</v>
      </c>
      <c r="D18" s="82"/>
      <c r="E18" s="82"/>
      <c r="F18" s="82"/>
      <c r="G18" s="72">
        <f>C50</f>
        <v>6.0258341999999999E-2</v>
      </c>
      <c r="H18" s="72">
        <f>G18*$C18</f>
        <v>5.7848008319999998E-2</v>
      </c>
      <c r="I18" s="72">
        <f t="shared" ref="I18:P18" si="9">H18*$C18</f>
        <v>5.5534087987199998E-2</v>
      </c>
      <c r="J18" s="72">
        <f t="shared" si="9"/>
        <v>5.3312724467711993E-2</v>
      </c>
      <c r="K18" s="72">
        <f t="shared" si="9"/>
        <v>5.1180215489003512E-2</v>
      </c>
      <c r="L18" s="72">
        <f t="shared" si="9"/>
        <v>4.9133006869443371E-2</v>
      </c>
      <c r="M18" s="72">
        <f t="shared" si="9"/>
        <v>4.7167686594665637E-2</v>
      </c>
      <c r="N18" s="72">
        <f t="shared" si="9"/>
        <v>4.5280979130879008E-2</v>
      </c>
      <c r="O18" s="72">
        <f t="shared" si="9"/>
        <v>4.3469739965643843E-2</v>
      </c>
      <c r="P18" s="72">
        <f t="shared" si="9"/>
        <v>4.1730950367018085E-2</v>
      </c>
      <c r="Q18" s="72"/>
    </row>
    <row r="19" spans="1:18" ht="17" thickBot="1" x14ac:dyDescent="0.25">
      <c r="A19" s="2"/>
      <c r="E19" s="51" t="s">
        <v>10</v>
      </c>
      <c r="F19" s="52"/>
      <c r="G19" s="53">
        <f>G15/(1+$C$55)</f>
        <v>2.3646605626494539</v>
      </c>
      <c r="H19" s="53">
        <f>H15/(1+$C$55)^2</f>
        <v>2.2891911259452278</v>
      </c>
      <c r="I19" s="53">
        <f>I15/(1+$C$55)^3</f>
        <v>2.2051154317706425</v>
      </c>
      <c r="J19" s="53">
        <f>J15/(1+$C$55)^4</f>
        <v>2.0807908544435043</v>
      </c>
      <c r="K19" s="53">
        <f>K15/(1+$C$55)^5</f>
        <v>1.9729071649726178</v>
      </c>
      <c r="L19" s="53">
        <f>L15/(1+$C$55)^6</f>
        <v>1.8751532153127848</v>
      </c>
      <c r="M19" s="53">
        <f>M15/(1+$C$55)^7</f>
        <v>1.804757026290057</v>
      </c>
      <c r="N19" s="53">
        <f>N15/(1+$C$55)^8</f>
        <v>1.7066389803294719</v>
      </c>
      <c r="O19" s="53">
        <f>O15/(1+$C$55)^9</f>
        <v>1.6343356506851885</v>
      </c>
      <c r="P19" s="53">
        <f>P15/(1+$C$55)^10</f>
        <v>1.5492062234838571</v>
      </c>
      <c r="Q19" s="54">
        <f>(Q15/(C55-Q12))/(1+C55)^10</f>
        <v>35.018068652709907</v>
      </c>
    </row>
    <row r="20" spans="1:18" x14ac:dyDescent="0.2">
      <c r="A20" s="2"/>
      <c r="C20" s="75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">
      <c r="A21" s="2"/>
      <c r="J21" s="101"/>
      <c r="K21" s="101"/>
      <c r="L21" s="101"/>
      <c r="M21" s="101"/>
      <c r="N21" s="101"/>
      <c r="O21" s="101"/>
      <c r="P21" s="101"/>
      <c r="Q21" s="101"/>
      <c r="R21" s="3"/>
    </row>
    <row r="22" spans="1:18" ht="17" thickBot="1" x14ac:dyDescent="0.25">
      <c r="P22" s="3"/>
      <c r="Q22" s="3"/>
      <c r="R22" s="3"/>
    </row>
    <row r="23" spans="1:18" x14ac:dyDescent="0.2">
      <c r="A23" s="32" t="s">
        <v>22</v>
      </c>
      <c r="B23" s="33"/>
      <c r="C23" s="33"/>
      <c r="D23" s="34"/>
      <c r="E23" s="23"/>
      <c r="F23" s="33"/>
      <c r="G23" s="59" t="s">
        <v>23</v>
      </c>
      <c r="H23" s="23"/>
      <c r="I23" s="78">
        <v>3.7499999999999999E-2</v>
      </c>
      <c r="J23" s="24" t="s">
        <v>24</v>
      </c>
    </row>
    <row r="24" spans="1:18" x14ac:dyDescent="0.2">
      <c r="A24" s="35"/>
      <c r="B24" s="36"/>
      <c r="C24" s="36"/>
      <c r="D24" s="37"/>
      <c r="E24" s="36"/>
      <c r="F24" s="36"/>
      <c r="G24" s="25"/>
      <c r="I24" s="79"/>
      <c r="J24" s="26"/>
    </row>
    <row r="25" spans="1:18" x14ac:dyDescent="0.2">
      <c r="A25" s="35"/>
      <c r="B25" s="36"/>
      <c r="C25" s="36"/>
      <c r="D25" s="38"/>
      <c r="F25" s="36"/>
      <c r="G25" s="25" t="s">
        <v>25</v>
      </c>
      <c r="I25" s="80">
        <f>(I27-I23)*I29</f>
        <v>2.7625000000000007E-2</v>
      </c>
      <c r="J25" s="26"/>
    </row>
    <row r="26" spans="1:18" x14ac:dyDescent="0.2">
      <c r="A26" s="35"/>
      <c r="B26" s="36"/>
      <c r="C26" s="36"/>
      <c r="D26" s="38"/>
      <c r="F26" s="36"/>
      <c r="G26" s="25"/>
      <c r="I26" s="79"/>
      <c r="J26" s="26"/>
    </row>
    <row r="27" spans="1:18" x14ac:dyDescent="0.2">
      <c r="A27" s="35"/>
      <c r="B27" s="36"/>
      <c r="C27" s="36"/>
      <c r="D27" s="38"/>
      <c r="F27" s="36"/>
      <c r="G27" s="25" t="s">
        <v>26</v>
      </c>
      <c r="I27" s="81">
        <v>7.0000000000000007E-2</v>
      </c>
      <c r="J27" s="26" t="s">
        <v>27</v>
      </c>
    </row>
    <row r="28" spans="1:18" x14ac:dyDescent="0.2">
      <c r="A28" s="35"/>
      <c r="B28" s="36"/>
      <c r="C28" s="36"/>
      <c r="D28" s="39"/>
      <c r="F28" s="36"/>
      <c r="G28" s="25"/>
      <c r="I28" s="79"/>
      <c r="J28" s="26"/>
    </row>
    <row r="29" spans="1:18" x14ac:dyDescent="0.2">
      <c r="A29" s="35"/>
      <c r="B29" s="36"/>
      <c r="C29" s="36"/>
      <c r="D29" s="39"/>
      <c r="F29" s="36"/>
      <c r="G29" s="25" t="s">
        <v>32</v>
      </c>
      <c r="I29" s="79">
        <v>0.85</v>
      </c>
      <c r="J29" s="26" t="s">
        <v>28</v>
      </c>
    </row>
    <row r="30" spans="1:18" x14ac:dyDescent="0.2">
      <c r="A30" s="35"/>
      <c r="B30" s="36"/>
      <c r="C30" s="36"/>
      <c r="D30" s="40"/>
      <c r="F30" s="36"/>
      <c r="G30" s="25"/>
      <c r="I30" s="79"/>
      <c r="J30" s="26"/>
    </row>
    <row r="31" spans="1:18" x14ac:dyDescent="0.2">
      <c r="A31" s="35"/>
      <c r="B31" s="36"/>
      <c r="C31" s="36"/>
      <c r="D31" s="37"/>
      <c r="F31" s="36"/>
      <c r="G31" s="25" t="s">
        <v>29</v>
      </c>
      <c r="I31" s="81">
        <f>I23+(I27-I23)*I29</f>
        <v>6.5125000000000002E-2</v>
      </c>
      <c r="J31" s="26" t="s">
        <v>30</v>
      </c>
    </row>
    <row r="32" spans="1:18" x14ac:dyDescent="0.2">
      <c r="A32" s="25"/>
      <c r="C32" s="41"/>
      <c r="E32" s="36"/>
      <c r="F32" s="36"/>
      <c r="G32" s="25"/>
      <c r="J32" s="26"/>
    </row>
    <row r="33" spans="1:10" x14ac:dyDescent="0.2">
      <c r="A33" s="25"/>
      <c r="G33" s="76" t="s">
        <v>31</v>
      </c>
      <c r="H33" s="22"/>
      <c r="I33" s="77">
        <f>I31</f>
        <v>6.5125000000000002E-2</v>
      </c>
      <c r="J33" s="26"/>
    </row>
    <row r="34" spans="1:10" x14ac:dyDescent="0.2">
      <c r="A34" s="35" t="s">
        <v>6</v>
      </c>
      <c r="B34" s="36"/>
      <c r="C34" s="42"/>
      <c r="D34" s="27"/>
      <c r="G34" s="25"/>
      <c r="J34" s="26"/>
    </row>
    <row r="35" spans="1:10" ht="15.75" hidden="1" customHeight="1" x14ac:dyDescent="0.2">
      <c r="A35" s="25"/>
      <c r="G35" s="25"/>
      <c r="J35" s="26"/>
    </row>
    <row r="36" spans="1:10" ht="15.75" hidden="1" customHeight="1" x14ac:dyDescent="0.2">
      <c r="A36" s="25"/>
      <c r="B36" s="1" t="s">
        <v>7</v>
      </c>
      <c r="D36" s="43">
        <v>0.08</v>
      </c>
      <c r="G36" s="25"/>
      <c r="J36" s="26"/>
    </row>
    <row r="37" spans="1:10" ht="15.75" hidden="1" customHeight="1" x14ac:dyDescent="0.2">
      <c r="A37" s="25"/>
      <c r="G37" s="25"/>
      <c r="J37" s="26"/>
    </row>
    <row r="38" spans="1:10" ht="15.75" hidden="1" customHeight="1" x14ac:dyDescent="0.2">
      <c r="A38" s="25"/>
      <c r="G38" s="25"/>
      <c r="J38" s="26"/>
    </row>
    <row r="39" spans="1:10" ht="15.75" hidden="1" customHeight="1" x14ac:dyDescent="0.2">
      <c r="A39" s="25"/>
      <c r="G39" s="25"/>
      <c r="J39" s="26"/>
    </row>
    <row r="40" spans="1:10" hidden="1" x14ac:dyDescent="0.2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">
      <c r="A45" s="25"/>
      <c r="G45" s="25"/>
      <c r="J45" s="26"/>
    </row>
    <row r="46" spans="1:10" ht="17" thickBot="1" x14ac:dyDescent="0.25">
      <c r="A46" s="28"/>
      <c r="B46" s="29" t="s">
        <v>18</v>
      </c>
      <c r="C46" s="29"/>
      <c r="D46" s="44">
        <f>I33</f>
        <v>6.5125000000000002E-2</v>
      </c>
      <c r="E46" s="29"/>
      <c r="F46" s="29"/>
      <c r="G46" s="28"/>
      <c r="H46" s="29"/>
      <c r="I46" s="29"/>
      <c r="J46" s="30"/>
    </row>
    <row r="47" spans="1:10" x14ac:dyDescent="0.2"/>
    <row r="48" spans="1:10" x14ac:dyDescent="0.2">
      <c r="A48" s="16"/>
      <c r="B48" s="17"/>
      <c r="C48" s="83">
        <f>Pessimistisch!C48</f>
        <v>45205</v>
      </c>
      <c r="D48" s="18" t="s">
        <v>3</v>
      </c>
      <c r="E48" s="19"/>
      <c r="F48" s="20"/>
      <c r="G48" s="21"/>
      <c r="H48" s="21"/>
      <c r="I48" s="21"/>
    </row>
    <row r="49" spans="1:20" ht="17" x14ac:dyDescent="0.2">
      <c r="A49" s="45" t="s">
        <v>0</v>
      </c>
      <c r="B49" s="46" t="str">
        <f>Pessimistisch!B49</f>
        <v>Marktkapitalisierung, Mrd.</v>
      </c>
      <c r="C49" s="56">
        <f>C50*C51</f>
        <v>54.362063235299999</v>
      </c>
      <c r="D49" s="47">
        <f>SUM(G19:Q19)</f>
        <v>54.50082488859271</v>
      </c>
      <c r="E49" s="46"/>
    </row>
    <row r="50" spans="1:20" x14ac:dyDescent="0.2">
      <c r="A50" s="45"/>
      <c r="B50" s="46" t="str">
        <f>Pessimistisch!B50</f>
        <v>Anzahl Aktien gesamt, Mrd.</v>
      </c>
      <c r="C50" s="56">
        <f>Pessimistisch!C50</f>
        <v>6.0258341999999999E-2</v>
      </c>
      <c r="D50" s="56">
        <f>C50</f>
        <v>6.0258341999999999E-2</v>
      </c>
      <c r="E50" s="46"/>
    </row>
    <row r="51" spans="1:20" x14ac:dyDescent="0.2">
      <c r="A51" s="45"/>
      <c r="B51" s="46" t="s">
        <v>11</v>
      </c>
      <c r="C51" s="56">
        <f>Pessimistisch!C51</f>
        <v>902.15</v>
      </c>
      <c r="D51" s="87">
        <f>D49/(D50)</f>
        <v>904.45277914537894</v>
      </c>
      <c r="E51" s="46"/>
    </row>
    <row r="52" spans="1:20" x14ac:dyDescent="0.2">
      <c r="A52" s="45"/>
      <c r="B52" s="46" t="s">
        <v>2</v>
      </c>
      <c r="C52" s="46"/>
      <c r="D52" s="57">
        <f>IF(C51/D51-1&gt;0,0,C51/D51-1)*-1</f>
        <v>2.5460468456460772E-3</v>
      </c>
      <c r="E52" s="46"/>
    </row>
    <row r="53" spans="1:20" x14ac:dyDescent="0.2">
      <c r="A53" s="45"/>
      <c r="B53" s="46" t="s">
        <v>12</v>
      </c>
      <c r="C53" s="46"/>
      <c r="D53" s="58">
        <f>IF(C51/D51-1&lt;0,0,C51/D51-1)</f>
        <v>0</v>
      </c>
      <c r="E53" s="46"/>
    </row>
    <row r="54" spans="1:20" x14ac:dyDescent="0.2">
      <c r="A54" s="46"/>
      <c r="B54" s="46"/>
      <c r="C54" s="46"/>
      <c r="D54" s="48"/>
      <c r="E54" s="48"/>
    </row>
    <row r="55" spans="1:20" x14ac:dyDescent="0.2">
      <c r="A55" s="48" t="s">
        <v>17</v>
      </c>
      <c r="B55" s="46"/>
      <c r="C55" s="50">
        <f>D46</f>
        <v>6.5125000000000002E-2</v>
      </c>
      <c r="D55" s="49"/>
      <c r="E55" s="46"/>
      <c r="J55" s="70"/>
    </row>
    <row r="56" spans="1:20" x14ac:dyDescent="0.2">
      <c r="A56" s="48"/>
      <c r="B56" s="46"/>
      <c r="C56" s="50"/>
      <c r="D56" s="49"/>
      <c r="E56" s="46"/>
    </row>
    <row r="57" spans="1:20" hidden="1" x14ac:dyDescent="0.2">
      <c r="A57" s="48" t="s">
        <v>20</v>
      </c>
      <c r="B57" s="73">
        <v>0.108</v>
      </c>
      <c r="C57" s="50"/>
      <c r="D57" s="74">
        <f>SUM(H57:Q57)*1000</f>
        <v>27084.713286038961</v>
      </c>
      <c r="E57" s="46"/>
      <c r="F57" s="1" t="s">
        <v>21</v>
      </c>
      <c r="H57" s="1">
        <f>G15/(1+$B$57)</f>
        <v>2.2731580160577614</v>
      </c>
      <c r="I57" s="1">
        <f>H15/(1+$B$57)^2</f>
        <v>2.1154545036191661</v>
      </c>
      <c r="J57" s="1">
        <f>I15/(1+$B$57)^3</f>
        <v>1.9589068382446846</v>
      </c>
      <c r="K57" s="1">
        <f>J15/(1+$B$57)^4</f>
        <v>1.7769356562117407</v>
      </c>
      <c r="L57" s="1">
        <f>K15/(1+$B$57)^5</f>
        <v>1.6196110817242513</v>
      </c>
      <c r="M57" s="1">
        <f>L15/(1+$B$57)^6</f>
        <v>1.4797953777829838</v>
      </c>
      <c r="N57" s="1">
        <f>M15/(1+$B$57)^7</f>
        <v>1.3691293065548442</v>
      </c>
      <c r="O57" s="1">
        <f>N15/(1+$B$57)^8</f>
        <v>1.2445954365115421</v>
      </c>
      <c r="P57" s="1">
        <f>O15/(1+$B$57)^9</f>
        <v>1.1457467014817444</v>
      </c>
      <c r="Q57" s="1">
        <f>(Q15/(B57-Q12))/(1+B57)^10</f>
        <v>12.10138036785024</v>
      </c>
    </row>
    <row r="58" spans="1:20" ht="17" thickBot="1" x14ac:dyDescent="0.25">
      <c r="A58" s="22"/>
      <c r="C58" s="65"/>
      <c r="D58" s="66"/>
    </row>
    <row r="59" spans="1:20" x14ac:dyDescent="0.2">
      <c r="A59" s="59" t="str">
        <f>Pessimistisch!A59</f>
        <v>KGV Multiple in 2032</v>
      </c>
      <c r="B59" s="23"/>
      <c r="C59" s="67">
        <v>34</v>
      </c>
      <c r="D59" s="23"/>
      <c r="E59" s="24"/>
    </row>
    <row r="60" spans="1:20" x14ac:dyDescent="0.2">
      <c r="A60" s="25" t="s">
        <v>19</v>
      </c>
      <c r="C60" s="68"/>
      <c r="D60" s="68"/>
      <c r="E60" s="26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1:20" x14ac:dyDescent="0.2">
      <c r="A61" s="25"/>
      <c r="C61" s="68"/>
      <c r="E61" s="26"/>
    </row>
    <row r="62" spans="1:20" x14ac:dyDescent="0.2">
      <c r="A62" s="25" t="s">
        <v>34</v>
      </c>
      <c r="C62" s="68"/>
      <c r="E62" s="60">
        <f>P17*C59</f>
        <v>2372.1145525271022</v>
      </c>
    </row>
    <row r="63" spans="1:20" x14ac:dyDescent="0.2">
      <c r="A63" s="25"/>
      <c r="C63" s="68"/>
      <c r="E63" s="26"/>
    </row>
    <row r="64" spans="1:20" x14ac:dyDescent="0.2">
      <c r="A64" s="25" t="s">
        <v>15</v>
      </c>
      <c r="C64" s="69">
        <v>0</v>
      </c>
      <c r="E64" s="26"/>
    </row>
    <row r="65" spans="1:5" x14ac:dyDescent="0.2">
      <c r="A65" s="25"/>
      <c r="E65" s="26"/>
    </row>
    <row r="66" spans="1:5" x14ac:dyDescent="0.2">
      <c r="A66" s="25" t="s">
        <v>16</v>
      </c>
      <c r="E66" s="60">
        <f>SUM(G17:Q17)*C64</f>
        <v>0</v>
      </c>
    </row>
    <row r="67" spans="1:5" x14ac:dyDescent="0.2">
      <c r="A67" s="25"/>
      <c r="E67" s="61"/>
    </row>
    <row r="68" spans="1:5" x14ac:dyDescent="0.2">
      <c r="A68" s="102" t="s">
        <v>37</v>
      </c>
      <c r="E68" s="103">
        <f>(E66*0.15)*-1</f>
        <v>0</v>
      </c>
    </row>
    <row r="69" spans="1:5" x14ac:dyDescent="0.2">
      <c r="A69" s="25"/>
      <c r="C69" s="41"/>
      <c r="D69" s="41"/>
      <c r="E69" s="62"/>
    </row>
    <row r="70" spans="1:5" x14ac:dyDescent="0.2">
      <c r="A70" s="25" t="str">
        <f>Pessimistisch!A70</f>
        <v>Gesamtwert 2032</v>
      </c>
      <c r="E70" s="60">
        <f>SUM(E62:E68)</f>
        <v>2372.1145525271022</v>
      </c>
    </row>
    <row r="71" spans="1:5" x14ac:dyDescent="0.2">
      <c r="A71" s="25"/>
      <c r="E71" s="60"/>
    </row>
    <row r="72" spans="1:5" x14ac:dyDescent="0.2">
      <c r="A72" s="25" t="str">
        <f>Pessimistisch!A72</f>
        <v>Steigerung Gesamt bis 2032 in Prozent</v>
      </c>
      <c r="E72" s="62">
        <f>E70/C51-1</f>
        <v>1.6294014881417751</v>
      </c>
    </row>
    <row r="73" spans="1:5" x14ac:dyDescent="0.2">
      <c r="A73" s="25"/>
      <c r="E73" s="106"/>
    </row>
    <row r="74" spans="1:5" ht="17" thickBot="1" x14ac:dyDescent="0.25">
      <c r="A74" s="63" t="str">
        <f>Pessimistisch!A74</f>
        <v>Renditeerwartung bis 2032 pro Jahr</v>
      </c>
      <c r="B74" s="64"/>
      <c r="C74" s="64"/>
      <c r="D74" s="64"/>
      <c r="E74" s="105">
        <f>(E70/C51)^(1/10)-1</f>
        <v>0.10150301554103369</v>
      </c>
    </row>
    <row r="75" spans="1:5" x14ac:dyDescent="0.2"/>
  </sheetData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conditionalFormatting sqref="G6:J8">
    <cfRule type="top10" dxfId="3" priority="5" percent="1" rank="10"/>
  </conditionalFormatting>
  <conditionalFormatting sqref="L2:L5">
    <cfRule type="top10" dxfId="2" priority="3" percent="1" rank="10"/>
  </conditionalFormatting>
  <conditionalFormatting sqref="L6:L8">
    <cfRule type="top10" dxfId="1" priority="6" percent="1" rank="10"/>
  </conditionalFormatting>
  <conditionalFormatting sqref="L9">
    <cfRule type="top10" dxfId="0" priority="4" percent="1" rank="10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Pessimistisch</vt:lpstr>
      <vt:lpstr>Optimistisch</vt:lpstr>
      <vt:lpstr>Wachstum für faire Bewertung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Tilman Reichel</cp:lastModifiedBy>
  <cp:lastPrinted>2021-08-03T18:16:56Z</cp:lastPrinted>
  <dcterms:created xsi:type="dcterms:W3CDTF">2020-02-09T06:30:31Z</dcterms:created>
  <dcterms:modified xsi:type="dcterms:W3CDTF">2023-10-06T20:18:02Z</dcterms:modified>
</cp:coreProperties>
</file>