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Partners Group/"/>
    </mc:Choice>
  </mc:AlternateContent>
  <xr:revisionPtr revIDLastSave="0" documentId="13_ncr:1_{5922E385-A23D-3945-8FAB-A563F4B0871B}" xr6:coauthVersionLast="47" xr6:coauthVersionMax="47" xr10:uidLastSave="{00000000-0000-0000-0000-000000000000}"/>
  <bookViews>
    <workbookView xWindow="0" yWindow="0" windowWidth="68800" windowHeight="28800" activeTab="2" xr2:uid="{00000000-000D-0000-FFFF-FFFF00000000}"/>
  </bookViews>
  <sheets>
    <sheet name="Pessimistisch" sheetId="34" r:id="rId1"/>
    <sheet name="Optimistisch" sheetId="37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34" l="1"/>
  <c r="H13" i="35" l="1"/>
  <c r="I13" i="35"/>
  <c r="J13" i="35"/>
  <c r="K13" i="35"/>
  <c r="L13" i="35"/>
  <c r="M13" i="35"/>
  <c r="N13" i="35"/>
  <c r="O13" i="35"/>
  <c r="P13" i="35"/>
  <c r="Q13" i="35"/>
  <c r="G13" i="35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H10" i="35"/>
  <c r="I10" i="35"/>
  <c r="J10" i="35"/>
  <c r="K10" i="35"/>
  <c r="L10" i="35"/>
  <c r="M10" i="35"/>
  <c r="N10" i="35"/>
  <c r="O10" i="35"/>
  <c r="P10" i="35"/>
  <c r="Q10" i="35"/>
  <c r="G10" i="35"/>
  <c r="D10" i="35"/>
  <c r="E10" i="35"/>
  <c r="F10" i="35"/>
  <c r="C10" i="35"/>
  <c r="C10" i="37"/>
  <c r="H10" i="37"/>
  <c r="I10" i="37"/>
  <c r="J10" i="37"/>
  <c r="K10" i="37"/>
  <c r="L10" i="37"/>
  <c r="M10" i="37"/>
  <c r="N10" i="37"/>
  <c r="O10" i="37"/>
  <c r="P10" i="37"/>
  <c r="Q10" i="37"/>
  <c r="G10" i="37"/>
  <c r="F10" i="37"/>
  <c r="D10" i="37"/>
  <c r="E10" i="37"/>
  <c r="B6" i="37"/>
  <c r="B6" i="35"/>
  <c r="B4" i="35"/>
  <c r="B4" i="37"/>
  <c r="B50" i="35"/>
  <c r="B49" i="35"/>
  <c r="B50" i="37"/>
  <c r="B49" i="37"/>
  <c r="A74" i="35"/>
  <c r="A72" i="35"/>
  <c r="A70" i="35"/>
  <c r="C51" i="35"/>
  <c r="C50" i="35"/>
  <c r="C51" i="37"/>
  <c r="C50" i="37"/>
  <c r="C48" i="35"/>
  <c r="C48" i="37"/>
  <c r="F15" i="35"/>
  <c r="E15" i="35"/>
  <c r="D15" i="35"/>
  <c r="C15" i="35"/>
  <c r="D14" i="35" l="1"/>
  <c r="E14" i="35"/>
  <c r="F14" i="35"/>
  <c r="C14" i="35"/>
  <c r="D11" i="35"/>
  <c r="E11" i="35"/>
  <c r="F11" i="35"/>
  <c r="C11" i="35"/>
  <c r="H15" i="37"/>
  <c r="I15" i="37"/>
  <c r="G15" i="37"/>
  <c r="D15" i="37"/>
  <c r="D16" i="37" s="1"/>
  <c r="E15" i="37"/>
  <c r="F15" i="37"/>
  <c r="C15" i="37"/>
  <c r="H14" i="37"/>
  <c r="I14" i="37"/>
  <c r="I13" i="37" s="1"/>
  <c r="G14" i="37"/>
  <c r="D14" i="37"/>
  <c r="D13" i="37" s="1"/>
  <c r="E14" i="37"/>
  <c r="E13" i="37" s="1"/>
  <c r="F14" i="37"/>
  <c r="C14" i="37"/>
  <c r="I11" i="37"/>
  <c r="H11" i="37"/>
  <c r="I12" i="37" s="1"/>
  <c r="J11" i="37"/>
  <c r="G11" i="37"/>
  <c r="G12" i="37" s="1"/>
  <c r="H12" i="37"/>
  <c r="F11" i="37"/>
  <c r="F12" i="37" s="1"/>
  <c r="D11" i="37"/>
  <c r="E11" i="37"/>
  <c r="C11" i="37"/>
  <c r="C13" i="37" s="1"/>
  <c r="Q12" i="35"/>
  <c r="J57" i="37"/>
  <c r="I57" i="37"/>
  <c r="H57" i="37"/>
  <c r="D50" i="37"/>
  <c r="C49" i="37"/>
  <c r="I31" i="37"/>
  <c r="I33" i="37" s="1"/>
  <c r="D46" i="37" s="1"/>
  <c r="C55" i="37" s="1"/>
  <c r="I25" i="37"/>
  <c r="G18" i="37"/>
  <c r="H18" i="37" s="1"/>
  <c r="I18" i="37" s="1"/>
  <c r="J18" i="37" s="1"/>
  <c r="K18" i="37" s="1"/>
  <c r="L18" i="37" s="1"/>
  <c r="M18" i="37" s="1"/>
  <c r="N18" i="37" s="1"/>
  <c r="O18" i="37" s="1"/>
  <c r="P18" i="37" s="1"/>
  <c r="I16" i="37"/>
  <c r="H16" i="37"/>
  <c r="H13" i="37"/>
  <c r="G13" i="37"/>
  <c r="E12" i="37"/>
  <c r="H13" i="34"/>
  <c r="I13" i="34"/>
  <c r="G13" i="34"/>
  <c r="J11" i="34"/>
  <c r="J14" i="34" s="1"/>
  <c r="G16" i="37" l="1"/>
  <c r="C16" i="37"/>
  <c r="F16" i="37"/>
  <c r="E16" i="37"/>
  <c r="F13" i="37"/>
  <c r="D12" i="37"/>
  <c r="G17" i="37"/>
  <c r="K11" i="37"/>
  <c r="L11" i="37" s="1"/>
  <c r="J14" i="37"/>
  <c r="G19" i="37"/>
  <c r="I19" i="37"/>
  <c r="H19" i="37"/>
  <c r="A72" i="37"/>
  <c r="A74" i="37"/>
  <c r="A59" i="37"/>
  <c r="A70" i="37"/>
  <c r="H17" i="37"/>
  <c r="H12" i="35"/>
  <c r="I12" i="35" s="1"/>
  <c r="J12" i="35" s="1"/>
  <c r="K12" i="35" s="1"/>
  <c r="L12" i="35" s="1"/>
  <c r="M12" i="35" s="1"/>
  <c r="N12" i="35" s="1"/>
  <c r="O12" i="35" s="1"/>
  <c r="P12" i="35" s="1"/>
  <c r="D13" i="35"/>
  <c r="E13" i="35"/>
  <c r="F13" i="35"/>
  <c r="C13" i="35"/>
  <c r="D10" i="34"/>
  <c r="E10" i="34" s="1"/>
  <c r="F10" i="34" s="1"/>
  <c r="G10" i="34" s="1"/>
  <c r="H10" i="34" s="1"/>
  <c r="I10" i="34" s="1"/>
  <c r="J10" i="34" s="1"/>
  <c r="K10" i="34" s="1"/>
  <c r="L10" i="34" s="1"/>
  <c r="M10" i="34" s="1"/>
  <c r="N10" i="34" s="1"/>
  <c r="O10" i="34" s="1"/>
  <c r="P10" i="34" s="1"/>
  <c r="C49" i="34"/>
  <c r="D50" i="34"/>
  <c r="I31" i="34"/>
  <c r="D13" i="34"/>
  <c r="E13" i="34"/>
  <c r="F13" i="34"/>
  <c r="C13" i="34"/>
  <c r="G11" i="35"/>
  <c r="K14" i="37" l="1"/>
  <c r="K15" i="37" s="1"/>
  <c r="K19" i="37" s="1"/>
  <c r="J15" i="37"/>
  <c r="K57" i="37" s="1"/>
  <c r="Q10" i="34"/>
  <c r="A74" i="34"/>
  <c r="A72" i="34"/>
  <c r="A70" i="34"/>
  <c r="A59" i="34"/>
  <c r="A59" i="35" s="1"/>
  <c r="L14" i="37"/>
  <c r="L15" i="37" s="1"/>
  <c r="M11" i="37"/>
  <c r="I17" i="37"/>
  <c r="L57" i="37" l="1"/>
  <c r="J16" i="37"/>
  <c r="J19" i="37"/>
  <c r="J17" i="37"/>
  <c r="M14" i="37"/>
  <c r="M15" i="37" s="1"/>
  <c r="N11" i="37"/>
  <c r="L19" i="37"/>
  <c r="M57" i="37"/>
  <c r="H11" i="35"/>
  <c r="M19" i="37" l="1"/>
  <c r="N57" i="37"/>
  <c r="N14" i="37"/>
  <c r="N15" i="37" s="1"/>
  <c r="O11" i="37"/>
  <c r="K17" i="37"/>
  <c r="H12" i="34"/>
  <c r="I12" i="34"/>
  <c r="P11" i="37" l="1"/>
  <c r="O14" i="37"/>
  <c r="O15" i="37" s="1"/>
  <c r="O57" i="37"/>
  <c r="N19" i="37"/>
  <c r="L17" i="37"/>
  <c r="I11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6" i="35"/>
  <c r="E16" i="35"/>
  <c r="D16" i="35"/>
  <c r="C16" i="35"/>
  <c r="F12" i="35"/>
  <c r="E12" i="35"/>
  <c r="D12" i="35"/>
  <c r="O19" i="37" l="1"/>
  <c r="P57" i="37"/>
  <c r="Q11" i="37"/>
  <c r="Q14" i="37" s="1"/>
  <c r="Q15" i="37" s="1"/>
  <c r="P14" i="37"/>
  <c r="P15" i="37" s="1"/>
  <c r="D41" i="37" s="1"/>
  <c r="M17" i="37"/>
  <c r="J11" i="35"/>
  <c r="K11" i="35" s="1"/>
  <c r="L11" i="35" s="1"/>
  <c r="D40" i="37" l="1"/>
  <c r="Q19" i="37"/>
  <c r="P19" i="37"/>
  <c r="D44" i="37"/>
  <c r="Q57" i="37"/>
  <c r="D57" i="37" s="1"/>
  <c r="D42" i="37"/>
  <c r="N17" i="37"/>
  <c r="D43" i="37"/>
  <c r="D49" i="37" l="1"/>
  <c r="D51" i="37" s="1"/>
  <c r="D53" i="37" s="1"/>
  <c r="P17" i="37"/>
  <c r="O17" i="37"/>
  <c r="D52" i="37" l="1"/>
  <c r="E62" i="37"/>
  <c r="E66" i="37"/>
  <c r="E68" i="37" s="1"/>
  <c r="E70" i="37" l="1"/>
  <c r="G12" i="34"/>
  <c r="E12" i="34"/>
  <c r="F12" i="34"/>
  <c r="D12" i="34"/>
  <c r="E74" i="37" l="1"/>
  <c r="E72" i="37"/>
  <c r="C16" i="34"/>
  <c r="H16" i="34"/>
  <c r="G16" i="34"/>
  <c r="F16" i="34"/>
  <c r="E16" i="34"/>
  <c r="D16" i="34"/>
  <c r="G17" i="34" l="1"/>
  <c r="H17" i="34"/>
  <c r="I33" i="34" l="1"/>
  <c r="D46" i="34" s="1"/>
  <c r="C55" i="34" s="1"/>
  <c r="I25" i="34"/>
  <c r="H19" i="34" l="1"/>
  <c r="G19" i="34"/>
  <c r="H57" i="34"/>
  <c r="I57" i="34"/>
  <c r="H14" i="35" l="1"/>
  <c r="H15" i="35" s="1"/>
  <c r="G14" i="35"/>
  <c r="G15" i="35" s="1"/>
  <c r="G17" i="35" s="1"/>
  <c r="I14" i="35" l="1"/>
  <c r="I15" i="35" s="1"/>
  <c r="I57" i="35" l="1"/>
  <c r="H19" i="35"/>
  <c r="H17" i="35"/>
  <c r="H16" i="35"/>
  <c r="H57" i="35"/>
  <c r="G19" i="35"/>
  <c r="G16" i="35"/>
  <c r="J14" i="35"/>
  <c r="J15" i="35" s="1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9" i="34" l="1"/>
  <c r="I17" i="34"/>
  <c r="J57" i="34"/>
  <c r="I16" i="34"/>
  <c r="J15" i="34"/>
  <c r="K11" i="34" l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2" i="34" s="1"/>
  <c r="E74" i="34" l="1"/>
</calcChain>
</file>

<file path=xl/sharedStrings.xml><?xml version="1.0" encoding="utf-8"?>
<sst xmlns="http://schemas.openxmlformats.org/spreadsheetml/2006/main" count="118" uniqueCount="42">
  <si>
    <t>Bewertung</t>
  </si>
  <si>
    <t>Umsatz-Wachstum, %</t>
  </si>
  <si>
    <t>Unterbewertung</t>
  </si>
  <si>
    <t>Fairer Wert</t>
  </si>
  <si>
    <t>Umsatz</t>
  </si>
  <si>
    <t>Verhältnis EBIT zu Konzerngewinn:</t>
  </si>
  <si>
    <t>EK Quote:</t>
  </si>
  <si>
    <t>Vereinfachter WACC:</t>
  </si>
  <si>
    <t>Schätzungen »</t>
  </si>
  <si>
    <t>Discounted Net-Profit Modell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</si>
  <si>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</si>
  <si>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</si>
  <si>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</si>
  <si>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</si>
  <si>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</si>
  <si>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</si>
  <si>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</si>
  <si>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</si>
  <si>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</si>
  <si>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</si>
  <si>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</si>
  <si>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</si>
  <si>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</si>
  <si>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</si>
  <si>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</si>
  <si>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</si>
  <si>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</si>
  <si>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</si>
  <si>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</si>
  <si>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</si>
  <si>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</si>
  <si>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</si>
  <si>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</si>
  <si>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</si>
  <si>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</si>
  <si>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</si>
  <si>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</si>
  <si>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Marktkapitalisierung, Mrd.</t>
  </si>
  <si>
    <t>Anzahl Aktien gesamt, Mrd.</t>
  </si>
  <si>
    <t>Alle Angaben in Mrd.</t>
  </si>
  <si>
    <t>Quellensteuer Schweiz (15 %)</t>
  </si>
  <si>
    <t>Annahmen für Partners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</si>
</sst>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7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2" borderId="7" xfId="0" applyNumberFormat="1" applyFill="1" applyBorder="1"/>
    <xf numFmtId="4" fontId="13" fillId="2" borderId="8" xfId="0" quotePrefix="1" applyNumberFormat="1" applyFont="1" applyFill="1" applyBorder="1"/>
    <xf numFmtId="10" fontId="0" fillId="10" borderId="12" xfId="1" applyNumberFormat="1" applyFont="1" applyFill="1" applyBorder="1"/>
    <xf numFmtId="10" fontId="0" fillId="10" borderId="13" xfId="1" applyNumberFormat="1" applyFont="1" applyFill="1" applyBorder="1"/>
    <xf numFmtId="0" fontId="0" fillId="2" borderId="14" xfId="0" applyFill="1" applyBorder="1"/>
    <xf numFmtId="4" fontId="14" fillId="5" borderId="0" xfId="0" applyNumberFormat="1" applyFont="1" applyFill="1"/>
    <xf numFmtId="10" fontId="0" fillId="9" borderId="0" xfId="1" applyNumberFormat="1" applyFont="1" applyFill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4A0DA5-2A72-8643-BB10-9949072F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9C3DC4-4684-864C-856D-E38EB5973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1:AB75"/>
  <sheetViews>
    <sheetView zoomScaleNormal="100" workbookViewId="0">
      <selection activeCell="B5" sqref="B5"/>
    </sheetView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41</v>
      </c>
    </row>
    <row r="5" spans="1:28" x14ac:dyDescent="0.2"/>
    <row r="6" spans="1:28" x14ac:dyDescent="0.2">
      <c r="B6" s="1" t="s">
        <v>39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2019</v>
      </c>
      <c r="D10" s="11">
        <f>C10+1</f>
        <v>2020</v>
      </c>
      <c r="E10" s="11">
        <f>D10+1</f>
        <v>2021</v>
      </c>
      <c r="F10" s="11">
        <f>E10+1</f>
        <v>2022</v>
      </c>
      <c r="G10" s="55">
        <f>F10+1</f>
        <v>2023</v>
      </c>
      <c r="H10" s="55">
        <f t="shared" ref="H10:P10" si="0">G10+1</f>
        <v>2024</v>
      </c>
      <c r="I10" s="55">
        <f t="shared" si="0"/>
        <v>2025</v>
      </c>
      <c r="J10" s="55">
        <f t="shared" si="0"/>
        <v>2026</v>
      </c>
      <c r="K10" s="55">
        <f t="shared" si="0"/>
        <v>2027</v>
      </c>
      <c r="L10" s="55">
        <f t="shared" si="0"/>
        <v>2028</v>
      </c>
      <c r="M10" s="55">
        <f t="shared" si="0"/>
        <v>2029</v>
      </c>
      <c r="N10" s="55">
        <f t="shared" si="0"/>
        <v>2030</v>
      </c>
      <c r="O10" s="55">
        <f t="shared" si="0"/>
        <v>2031</v>
      </c>
      <c r="P10" s="55">
        <f t="shared" si="0"/>
        <v>2032</v>
      </c>
      <c r="Q10" s="55" t="str">
        <f>P10+1&amp;"ff."</f>
        <v>2033ff.</v>
      </c>
    </row>
    <row r="11" spans="1:28" x14ac:dyDescent="0.2">
      <c r="A11" s="5"/>
      <c r="B11" s="4" t="s">
        <v>4</v>
      </c>
      <c r="C11" s="82">
        <v>1.6102999999999998</v>
      </c>
      <c r="D11" s="82">
        <v>1.4123000000000001</v>
      </c>
      <c r="E11" s="82">
        <v>2.6287000000000003</v>
      </c>
      <c r="F11" s="82">
        <v>1.8719000000000001</v>
      </c>
      <c r="G11" s="72">
        <v>2.1539999999999999</v>
      </c>
      <c r="H11" s="72">
        <v>2.4910000000000001</v>
      </c>
      <c r="I11" s="72">
        <v>2.7650000000000001</v>
      </c>
      <c r="J11" s="72">
        <f>I11*(1+J12)</f>
        <v>2.9309000000000003</v>
      </c>
      <c r="K11" s="72">
        <f>J11*(1+K12)</f>
        <v>3.1067540000000005</v>
      </c>
      <c r="L11" s="72">
        <f t="shared" ref="L11:Q11" si="1">K11*(1+L12)</f>
        <v>3.2620917000000005</v>
      </c>
      <c r="M11" s="72">
        <f t="shared" si="1"/>
        <v>3.4251962850000006</v>
      </c>
      <c r="N11" s="72">
        <f t="shared" si="1"/>
        <v>3.5622041364000006</v>
      </c>
      <c r="O11" s="72">
        <f t="shared" si="1"/>
        <v>3.6690702604920005</v>
      </c>
      <c r="P11" s="72">
        <f t="shared" si="1"/>
        <v>3.7791423683067604</v>
      </c>
      <c r="Q11" s="72">
        <f t="shared" si="1"/>
        <v>3.8358295038313615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-0.1229584549462831</v>
      </c>
      <c r="E12" s="89">
        <f t="shared" si="2"/>
        <v>0.86129009417262625</v>
      </c>
      <c r="F12" s="89">
        <f t="shared" si="2"/>
        <v>-0.28789896146384142</v>
      </c>
      <c r="G12" s="85">
        <f t="shared" si="2"/>
        <v>0.15070249479138842</v>
      </c>
      <c r="H12" s="85">
        <f t="shared" si="2"/>
        <v>0.15645311049210786</v>
      </c>
      <c r="I12" s="85">
        <f t="shared" si="2"/>
        <v>0.10999598554797263</v>
      </c>
      <c r="J12" s="85">
        <v>0.06</v>
      </c>
      <c r="K12" s="71">
        <v>0.06</v>
      </c>
      <c r="L12" s="71">
        <v>0.05</v>
      </c>
      <c r="M12" s="71">
        <v>0.05</v>
      </c>
      <c r="N12" s="71">
        <v>0.04</v>
      </c>
      <c r="O12" s="71">
        <v>0.03</v>
      </c>
      <c r="P12" s="71">
        <v>0.03</v>
      </c>
      <c r="Q12" s="12">
        <v>1.4999999999999999E-2</v>
      </c>
    </row>
    <row r="13" spans="1:28" ht="16" customHeight="1" x14ac:dyDescent="0.2">
      <c r="A13" s="5"/>
      <c r="B13" s="4" t="s">
        <v>13</v>
      </c>
      <c r="C13" s="88">
        <f>C14/C11</f>
        <v>0.62572191517108622</v>
      </c>
      <c r="D13" s="88">
        <f t="shared" ref="D13:F13" si="3">D14/D11</f>
        <v>0.61983997734192442</v>
      </c>
      <c r="E13" s="88">
        <f t="shared" si="3"/>
        <v>0.62783885570814468</v>
      </c>
      <c r="F13" s="88">
        <f t="shared" si="3"/>
        <v>0.60457289385116719</v>
      </c>
      <c r="G13" s="84">
        <f>G14/G11</f>
        <v>0.60299999999999998</v>
      </c>
      <c r="H13" s="84">
        <f t="shared" ref="H13:I13" si="4">H14/H11</f>
        <v>0.61499999999999999</v>
      </c>
      <c r="I13" s="84">
        <f t="shared" si="4"/>
        <v>0.622</v>
      </c>
      <c r="J13" s="84">
        <v>0.6</v>
      </c>
      <c r="K13" s="84">
        <v>0.59</v>
      </c>
      <c r="L13" s="84">
        <v>0.57999999999999996</v>
      </c>
      <c r="M13" s="84">
        <v>0.56999999999999995</v>
      </c>
      <c r="N13" s="84">
        <v>0.56000000000000005</v>
      </c>
      <c r="O13" s="84">
        <v>0.55000000000000004</v>
      </c>
      <c r="P13" s="84">
        <v>0.54</v>
      </c>
      <c r="Q13" s="84">
        <v>0.54</v>
      </c>
    </row>
    <row r="14" spans="1:28" ht="17.25" customHeight="1" x14ac:dyDescent="0.2">
      <c r="A14" s="5"/>
      <c r="B14" s="4" t="s">
        <v>14</v>
      </c>
      <c r="C14" s="82">
        <v>1.0076000000000001</v>
      </c>
      <c r="D14" s="82">
        <v>0.87539999999999996</v>
      </c>
      <c r="E14" s="82">
        <v>1.6504000000000001</v>
      </c>
      <c r="F14" s="82">
        <v>1.1316999999999999</v>
      </c>
      <c r="G14" s="72">
        <v>1.298862</v>
      </c>
      <c r="H14" s="72">
        <v>1.531965</v>
      </c>
      <c r="I14" s="72">
        <v>1.71983</v>
      </c>
      <c r="J14" s="72">
        <f>J11*J13</f>
        <v>1.7585400000000002</v>
      </c>
      <c r="K14" s="72">
        <f t="shared" ref="K14:Q14" si="5">K11*K13</f>
        <v>1.8329848600000003</v>
      </c>
      <c r="L14" s="72">
        <f t="shared" si="5"/>
        <v>1.8920131860000002</v>
      </c>
      <c r="M14" s="72">
        <f t="shared" si="5"/>
        <v>1.9523618824500002</v>
      </c>
      <c r="N14" s="72">
        <f t="shared" si="5"/>
        <v>1.9948343163840005</v>
      </c>
      <c r="O14" s="72">
        <f t="shared" si="5"/>
        <v>2.0179886432706002</v>
      </c>
      <c r="P14" s="72">
        <f>P11*P13</f>
        <v>2.0407368788856508</v>
      </c>
      <c r="Q14" s="72">
        <f t="shared" si="5"/>
        <v>2.0713479320689352</v>
      </c>
    </row>
    <row r="15" spans="1:28" x14ac:dyDescent="0.2">
      <c r="A15" s="100">
        <v>0.15</v>
      </c>
      <c r="B15" s="4" t="s">
        <v>36</v>
      </c>
      <c r="C15" s="82">
        <v>0.89990000000000003</v>
      </c>
      <c r="D15" s="82">
        <v>0.80479999999999996</v>
      </c>
      <c r="E15" s="82">
        <v>1.4636</v>
      </c>
      <c r="F15" s="82">
        <v>1.0048999999999999</v>
      </c>
      <c r="G15" s="72">
        <v>1.117926</v>
      </c>
      <c r="H15" s="72">
        <v>1.267919</v>
      </c>
      <c r="I15" s="72">
        <v>1.423975</v>
      </c>
      <c r="J15" s="72">
        <f>J14*(1-$A$15)</f>
        <v>1.4947590000000002</v>
      </c>
      <c r="K15" s="72">
        <f>K14*(1-$A$15)</f>
        <v>1.5580371310000003</v>
      </c>
      <c r="L15" s="72">
        <f t="shared" ref="L15:Q15" si="6">L14*(1-$A$15)</f>
        <v>1.6082112081000002</v>
      </c>
      <c r="M15" s="72">
        <f t="shared" si="6"/>
        <v>1.6595076000825002</v>
      </c>
      <c r="N15" s="72">
        <f t="shared" si="6"/>
        <v>1.6956091689264003</v>
      </c>
      <c r="O15" s="72">
        <f t="shared" si="6"/>
        <v>1.7152903467800102</v>
      </c>
      <c r="P15" s="72">
        <f>P14*(1-$A$15)</f>
        <v>1.7346263470528032</v>
      </c>
      <c r="Q15" s="72">
        <f t="shared" si="6"/>
        <v>1.7606457422585948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0.89311234616911472</v>
      </c>
      <c r="D16" s="15">
        <f t="shared" si="7"/>
        <v>0.91935115375828191</v>
      </c>
      <c r="E16" s="15">
        <f t="shared" si="7"/>
        <v>0.88681531749878817</v>
      </c>
      <c r="F16" s="15">
        <f t="shared" si="7"/>
        <v>0.88795617213042322</v>
      </c>
      <c r="G16" s="15">
        <f t="shared" si="7"/>
        <v>0.86069651741293529</v>
      </c>
      <c r="H16" s="15">
        <f t="shared" si="7"/>
        <v>0.82764227642276422</v>
      </c>
      <c r="I16" s="15">
        <f t="shared" si="7"/>
        <v>0.82797427652733124</v>
      </c>
      <c r="J16" s="15">
        <f t="shared" si="7"/>
        <v>0.85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43.105938313169943</v>
      </c>
      <c r="H17" s="72">
        <f t="shared" ref="H17:P17" si="8">H15/H18</f>
        <v>48.889495548091844</v>
      </c>
      <c r="I17" s="72">
        <f t="shared" si="8"/>
        <v>54.906835076289639</v>
      </c>
      <c r="J17" s="72">
        <f t="shared" si="8"/>
        <v>57.636184548043076</v>
      </c>
      <c r="K17" s="72">
        <f t="shared" si="8"/>
        <v>60.076116360576904</v>
      </c>
      <c r="L17" s="72">
        <f t="shared" si="8"/>
        <v>62.010770955239543</v>
      </c>
      <c r="M17" s="72">
        <f t="shared" si="8"/>
        <v>63.988700718467015</v>
      </c>
      <c r="N17" s="72">
        <f t="shared" si="8"/>
        <v>65.380735611289808</v>
      </c>
      <c r="O17" s="72">
        <f t="shared" si="8"/>
        <v>66.139619149635138</v>
      </c>
      <c r="P17" s="72">
        <f t="shared" si="8"/>
        <v>66.885193038231023</v>
      </c>
      <c r="Q17" s="72"/>
    </row>
    <row r="18" spans="1:18" ht="35" thickBot="1" x14ac:dyDescent="0.25">
      <c r="A18" s="2" t="s">
        <v>35</v>
      </c>
      <c r="C18" s="107">
        <v>1</v>
      </c>
      <c r="D18" s="82"/>
      <c r="E18" s="82"/>
      <c r="F18" s="82"/>
      <c r="G18" s="72">
        <f>C50</f>
        <v>2.5934385000000001E-2</v>
      </c>
      <c r="H18" s="72">
        <f>G18*$C18</f>
        <v>2.5934385000000001E-2</v>
      </c>
      <c r="I18" s="72">
        <f t="shared" ref="I18:O18" si="9">H18*$C18</f>
        <v>2.5934385000000001E-2</v>
      </c>
      <c r="J18" s="72">
        <f t="shared" si="9"/>
        <v>2.5934385000000001E-2</v>
      </c>
      <c r="K18" s="72">
        <f t="shared" si="9"/>
        <v>2.5934385000000001E-2</v>
      </c>
      <c r="L18" s="72">
        <f t="shared" si="9"/>
        <v>2.5934385000000001E-2</v>
      </c>
      <c r="M18" s="72">
        <f t="shared" si="9"/>
        <v>2.5934385000000001E-2</v>
      </c>
      <c r="N18" s="72">
        <f t="shared" si="9"/>
        <v>2.5934385000000001E-2</v>
      </c>
      <c r="O18" s="72">
        <f t="shared" si="9"/>
        <v>2.5934385000000001E-2</v>
      </c>
      <c r="P18" s="72">
        <f>O18*$C18</f>
        <v>2.5934385000000001E-2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1.0305403043521546</v>
      </c>
      <c r="H19" s="53">
        <f>H15/(1+$C$55)^2</f>
        <v>1.0774456189663206</v>
      </c>
      <c r="I19" s="53">
        <f>I15/(1+$C$55)^3</f>
        <v>1.1154706282909028</v>
      </c>
      <c r="J19" s="53">
        <f>J15/(1+$C$55)^4</f>
        <v>1.079391208437064</v>
      </c>
      <c r="K19" s="53">
        <f>K15/(1+$C$55)^5</f>
        <v>1.0371401040019506</v>
      </c>
      <c r="L19" s="53">
        <f>L15/(1+$C$55)^6</f>
        <v>0.98685792635664138</v>
      </c>
      <c r="M19" s="53">
        <f>M15/(1+$C$55)^7</f>
        <v>0.93873437148463978</v>
      </c>
      <c r="N19" s="53">
        <f>N15/(1+$C$55)^8</f>
        <v>0.88418095321189061</v>
      </c>
      <c r="O19" s="53">
        <f>O15/(1+$C$55)^9</f>
        <v>0.82452716257009206</v>
      </c>
      <c r="P19" s="53">
        <f>P15/(1+$C$55)^10</f>
        <v>0.7686439039254388</v>
      </c>
      <c r="Q19" s="54">
        <f>(Q15/(C55-Q12))/(1+C55)^10</f>
        <v>11.177912236866296</v>
      </c>
    </row>
    <row r="20" spans="1:18" x14ac:dyDescent="0.2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2.8899999999999999E-2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5.5896000000000022E-2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1.36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8.4796000000000024E-2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8.4796000000000024E-2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8.4796000000000024E-2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v>45189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37</v>
      </c>
      <c r="C49" s="56">
        <f>C50*C51</f>
        <v>24.897009600000001</v>
      </c>
      <c r="D49" s="47">
        <f>SUM(G19:Q19)</f>
        <v>20.920844418463393</v>
      </c>
      <c r="E49" s="46"/>
    </row>
    <row r="50" spans="1:17" x14ac:dyDescent="0.2">
      <c r="A50" s="45"/>
      <c r="B50" s="46" t="s">
        <v>38</v>
      </c>
      <c r="C50" s="56">
        <f>0.025934385</f>
        <v>2.5934385000000001E-2</v>
      </c>
      <c r="D50" s="56">
        <f>C50</f>
        <v>2.5934385000000001E-2</v>
      </c>
      <c r="E50" s="46"/>
    </row>
    <row r="51" spans="1:17" x14ac:dyDescent="0.2">
      <c r="A51" s="45"/>
      <c r="B51" s="46" t="s">
        <v>11</v>
      </c>
      <c r="C51" s="87">
        <v>960</v>
      </c>
      <c r="D51" s="56">
        <f>D49/(D50)</f>
        <v>806.68365255098172</v>
      </c>
      <c r="E51" s="46"/>
    </row>
    <row r="52" spans="1:17" x14ac:dyDescent="0.2">
      <c r="A52" s="45"/>
      <c r="B52" s="46" t="s">
        <v>2</v>
      </c>
      <c r="C52" s="46"/>
      <c r="D52" s="108">
        <f>IF(C51/D51-1&gt;0,0,C51/D51-1)*-1</f>
        <v>0</v>
      </c>
      <c r="E52" s="46"/>
    </row>
    <row r="53" spans="1:17" x14ac:dyDescent="0.2">
      <c r="A53" s="45"/>
      <c r="B53" s="46" t="s">
        <v>12</v>
      </c>
      <c r="C53" s="46"/>
      <c r="D53" s="50">
        <f>IF(C51/D51-1&lt;0,0,C51/D51-1)</f>
        <v>0.19005758572667841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8.4796000000000024E-2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14908.761004344147</v>
      </c>
      <c r="E57" s="46"/>
      <c r="F57" s="1" t="s">
        <v>21</v>
      </c>
      <c r="H57" s="1">
        <f>G15/(1+$B$57)</f>
        <v>1.0089584837545125</v>
      </c>
      <c r="I57" s="1">
        <f>H15/(1+$B$57)^2</f>
        <v>1.0327899164592265</v>
      </c>
      <c r="J57" s="1">
        <f>I15/(1+$B$57)^3</f>
        <v>1.0468466883282259</v>
      </c>
      <c r="K57" s="1">
        <f>J15/(1+$B$57)^4</f>
        <v>0.9917726678178802</v>
      </c>
      <c r="L57" s="1">
        <f>K15/(1+$B$57)^5</f>
        <v>0.93299432378655578</v>
      </c>
      <c r="M57" s="1">
        <f>L15/(1+$B$57)^6</f>
        <v>0.86916958818150336</v>
      </c>
      <c r="N57" s="1">
        <f>M15/(1+$B$57)^7</f>
        <v>0.80947030767868433</v>
      </c>
      <c r="O57" s="1">
        <f>N15/(1+$B$57)^8</f>
        <v>0.74646194691251133</v>
      </c>
      <c r="P57" s="1">
        <f>O15/(1+$B$57)^9</f>
        <v>0.68152187488063687</v>
      </c>
      <c r="Q57" s="1">
        <f>(Q15/(B57-Q12))/(1+B57)^10</f>
        <v>6.7887752065444111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2032</v>
      </c>
      <c r="B59" s="23"/>
      <c r="C59" s="67">
        <v>14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936.39270253523432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0.45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265.05881519356529</v>
      </c>
    </row>
    <row r="67" spans="1:5" x14ac:dyDescent="0.2">
      <c r="A67" s="25"/>
      <c r="E67" s="61"/>
    </row>
    <row r="68" spans="1:5" x14ac:dyDescent="0.2">
      <c r="A68" s="102" t="s">
        <v>40</v>
      </c>
      <c r="E68" s="103">
        <f>(E66*0.15)*-1</f>
        <v>-39.758822279034796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2032</v>
      </c>
      <c r="E70" s="60">
        <f>SUM(E62:E68)</f>
        <v>1161.6926954497649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2032 in Prozent</v>
      </c>
      <c r="E72" s="62">
        <f>E70/C51-1</f>
        <v>0.21009655776017166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2032 pro Jahr</v>
      </c>
      <c r="B74" s="64"/>
      <c r="C74" s="64"/>
      <c r="D74" s="64"/>
      <c r="E74" s="105">
        <f>(E70/C51)^(1/10)-1</f>
        <v>1.925300975330857E-2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89AB-A969-864E-B80B-9176CDCA58C7}">
  <dimension ref="A1:AB75"/>
  <sheetViews>
    <sheetView zoomScaleNormal="100" workbookViewId="0">
      <selection activeCell="B4" sqref="B4"/>
    </sheetView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Partners Group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2019</v>
      </c>
      <c r="D10" s="11">
        <f>Pessimistisch!D10</f>
        <v>2020</v>
      </c>
      <c r="E10" s="11">
        <f>Pessimistisch!E10</f>
        <v>2021</v>
      </c>
      <c r="F10" s="11">
        <f>Pessimistisch!F10</f>
        <v>2022</v>
      </c>
      <c r="G10" s="55">
        <f>Pessimistisch!G10</f>
        <v>2023</v>
      </c>
      <c r="H10" s="55">
        <f>Pessimistisch!H10</f>
        <v>2024</v>
      </c>
      <c r="I10" s="55">
        <f>Pessimistisch!I10</f>
        <v>2025</v>
      </c>
      <c r="J10" s="55">
        <f>Pessimistisch!J10</f>
        <v>2026</v>
      </c>
      <c r="K10" s="55">
        <f>Pessimistisch!K10</f>
        <v>2027</v>
      </c>
      <c r="L10" s="55">
        <f>Pessimistisch!L10</f>
        <v>2028</v>
      </c>
      <c r="M10" s="55">
        <f>Pessimistisch!M10</f>
        <v>2029</v>
      </c>
      <c r="N10" s="55">
        <f>Pessimistisch!N10</f>
        <v>2030</v>
      </c>
      <c r="O10" s="55">
        <f>Pessimistisch!O10</f>
        <v>2031</v>
      </c>
      <c r="P10" s="55">
        <f>Pessimistisch!P10</f>
        <v>2032</v>
      </c>
      <c r="Q10" s="55" t="str">
        <f>Pessimistisch!Q10</f>
        <v>2033ff.</v>
      </c>
    </row>
    <row r="11" spans="1:28" x14ac:dyDescent="0.2">
      <c r="A11" s="5"/>
      <c r="B11" s="4" t="s">
        <v>4</v>
      </c>
      <c r="C11" s="82">
        <f>Pessimistisch!C$11</f>
        <v>1.6102999999999998</v>
      </c>
      <c r="D11" s="82">
        <f>Pessimistisch!D$11</f>
        <v>1.4123000000000001</v>
      </c>
      <c r="E11" s="82">
        <f>Pessimistisch!E$11</f>
        <v>2.6287000000000003</v>
      </c>
      <c r="F11" s="82">
        <f>Pessimistisch!F$11</f>
        <v>1.8719000000000001</v>
      </c>
      <c r="G11" s="72">
        <f>Pessimistisch!G11</f>
        <v>2.1539999999999999</v>
      </c>
      <c r="H11" s="72">
        <f>Pessimistisch!H11</f>
        <v>2.4910000000000001</v>
      </c>
      <c r="I11" s="72">
        <f>Pessimistisch!I11</f>
        <v>2.7650000000000001</v>
      </c>
      <c r="J11" s="72">
        <f>I11*(1+J12)</f>
        <v>3.0415000000000005</v>
      </c>
      <c r="K11" s="72">
        <f>J11*(1+K12)</f>
        <v>3.3152350000000008</v>
      </c>
      <c r="L11" s="72">
        <f t="shared" ref="L11:Q11" si="0">K11*(1+L12)</f>
        <v>3.6136061500000012</v>
      </c>
      <c r="M11" s="72">
        <f t="shared" si="0"/>
        <v>3.9026946420000015</v>
      </c>
      <c r="N11" s="72">
        <f t="shared" si="0"/>
        <v>4.1758832669400014</v>
      </c>
      <c r="O11" s="72">
        <f t="shared" si="0"/>
        <v>4.4264362629564014</v>
      </c>
      <c r="P11" s="72">
        <f t="shared" si="0"/>
        <v>4.6920224387337859</v>
      </c>
      <c r="Q11" s="72">
        <f t="shared" si="0"/>
        <v>4.7858628875084621</v>
      </c>
    </row>
    <row r="12" spans="1:28" x14ac:dyDescent="0.2">
      <c r="A12" s="5"/>
      <c r="B12" s="4" t="s">
        <v>1</v>
      </c>
      <c r="C12" s="86"/>
      <c r="D12" s="89">
        <f t="shared" ref="D12:I12" si="1">D11/C11-1</f>
        <v>-0.1229584549462831</v>
      </c>
      <c r="E12" s="89">
        <f t="shared" si="1"/>
        <v>0.86129009417262625</v>
      </c>
      <c r="F12" s="89">
        <f t="shared" si="1"/>
        <v>-0.28789896146384142</v>
      </c>
      <c r="G12" s="85">
        <f t="shared" si="1"/>
        <v>0.15070249479138842</v>
      </c>
      <c r="H12" s="85">
        <f t="shared" si="1"/>
        <v>0.15645311049210786</v>
      </c>
      <c r="I12" s="85">
        <f t="shared" si="1"/>
        <v>0.10999598554797263</v>
      </c>
      <c r="J12" s="85">
        <v>0.1</v>
      </c>
      <c r="K12" s="71">
        <v>0.09</v>
      </c>
      <c r="L12" s="71">
        <v>0.09</v>
      </c>
      <c r="M12" s="71">
        <v>0.08</v>
      </c>
      <c r="N12" s="71">
        <v>7.0000000000000007E-2</v>
      </c>
      <c r="O12" s="71">
        <v>0.06</v>
      </c>
      <c r="P12" s="71">
        <v>0.06</v>
      </c>
      <c r="Q12" s="12">
        <v>0.02</v>
      </c>
    </row>
    <row r="13" spans="1:28" ht="16" customHeight="1" x14ac:dyDescent="0.2">
      <c r="A13" s="5"/>
      <c r="B13" s="4" t="s">
        <v>13</v>
      </c>
      <c r="C13" s="88">
        <f>C14/C11</f>
        <v>0.62572191517108622</v>
      </c>
      <c r="D13" s="88">
        <f t="shared" ref="D13:F13" si="2">D14/D11</f>
        <v>0.61983997734192442</v>
      </c>
      <c r="E13" s="88">
        <f t="shared" si="2"/>
        <v>0.62783885570814468</v>
      </c>
      <c r="F13" s="88">
        <f t="shared" si="2"/>
        <v>0.60457289385116719</v>
      </c>
      <c r="G13" s="84">
        <f>G14/G11</f>
        <v>0.60299999999999998</v>
      </c>
      <c r="H13" s="84">
        <f t="shared" ref="H13:I13" si="3">H14/H11</f>
        <v>0.61499999999999999</v>
      </c>
      <c r="I13" s="84">
        <f t="shared" si="3"/>
        <v>0.622</v>
      </c>
      <c r="J13" s="84">
        <v>0.625</v>
      </c>
      <c r="K13" s="84">
        <v>0.62</v>
      </c>
      <c r="L13" s="84">
        <v>0.61</v>
      </c>
      <c r="M13" s="84">
        <v>0.625</v>
      </c>
      <c r="N13" s="84">
        <v>0.63</v>
      </c>
      <c r="O13" s="84">
        <v>0.62</v>
      </c>
      <c r="P13" s="84">
        <v>0.62</v>
      </c>
      <c r="Q13" s="84">
        <v>0.625</v>
      </c>
    </row>
    <row r="14" spans="1:28" ht="17.25" customHeight="1" x14ac:dyDescent="0.2">
      <c r="A14" s="5"/>
      <c r="B14" s="4" t="s">
        <v>14</v>
      </c>
      <c r="C14" s="82">
        <f>Pessimistisch!C14</f>
        <v>1.0076000000000001</v>
      </c>
      <c r="D14" s="82">
        <f>Pessimistisch!D14</f>
        <v>0.87539999999999996</v>
      </c>
      <c r="E14" s="82">
        <f>Pessimistisch!E14</f>
        <v>1.6504000000000001</v>
      </c>
      <c r="F14" s="82">
        <f>Pessimistisch!F14</f>
        <v>1.1316999999999999</v>
      </c>
      <c r="G14" s="72">
        <f>Pessimistisch!G14</f>
        <v>1.298862</v>
      </c>
      <c r="H14" s="72">
        <f>Pessimistisch!H14</f>
        <v>1.531965</v>
      </c>
      <c r="I14" s="72">
        <f>Pessimistisch!I14</f>
        <v>1.71983</v>
      </c>
      <c r="J14" s="72">
        <f>J11*J13</f>
        <v>1.9009375000000004</v>
      </c>
      <c r="K14" s="72">
        <f t="shared" ref="K14:Q14" si="4">K11*K13</f>
        <v>2.0554457000000004</v>
      </c>
      <c r="L14" s="72">
        <f t="shared" si="4"/>
        <v>2.2042997515000007</v>
      </c>
      <c r="M14" s="72">
        <f t="shared" si="4"/>
        <v>2.439184151250001</v>
      </c>
      <c r="N14" s="72">
        <f t="shared" si="4"/>
        <v>2.6308064581722008</v>
      </c>
      <c r="O14" s="72">
        <f t="shared" si="4"/>
        <v>2.7443904830329688</v>
      </c>
      <c r="P14" s="72">
        <f>P11*P13</f>
        <v>2.9090539120149472</v>
      </c>
      <c r="Q14" s="72">
        <f t="shared" si="4"/>
        <v>2.9911643046927887</v>
      </c>
    </row>
    <row r="15" spans="1:28" x14ac:dyDescent="0.2">
      <c r="A15" s="100">
        <v>0.1</v>
      </c>
      <c r="B15" s="4" t="s">
        <v>36</v>
      </c>
      <c r="C15" s="82">
        <f>Pessimistisch!C15</f>
        <v>0.89990000000000003</v>
      </c>
      <c r="D15" s="82">
        <f>Pessimistisch!D15</f>
        <v>0.80479999999999996</v>
      </c>
      <c r="E15" s="82">
        <f>Pessimistisch!E15</f>
        <v>1.4636</v>
      </c>
      <c r="F15" s="82">
        <f>Pessimistisch!F15</f>
        <v>1.0048999999999999</v>
      </c>
      <c r="G15" s="72">
        <f>Pessimistisch!G15</f>
        <v>1.117926</v>
      </c>
      <c r="H15" s="72">
        <f>Pessimistisch!H15</f>
        <v>1.267919</v>
      </c>
      <c r="I15" s="72">
        <f>Pessimistisch!I15</f>
        <v>1.423975</v>
      </c>
      <c r="J15" s="72">
        <f>J14*(1-$A$15)</f>
        <v>1.7108437500000004</v>
      </c>
      <c r="K15" s="72">
        <f>K14*(1-$A$15)</f>
        <v>1.8499011300000003</v>
      </c>
      <c r="L15" s="72">
        <f t="shared" ref="L15:Q15" si="5">L14*(1-$A$15)</f>
        <v>1.9838697763500006</v>
      </c>
      <c r="M15" s="72">
        <f t="shared" si="5"/>
        <v>2.195265736125001</v>
      </c>
      <c r="N15" s="72">
        <f t="shared" si="5"/>
        <v>2.3677258123549807</v>
      </c>
      <c r="O15" s="72">
        <f t="shared" si="5"/>
        <v>2.4699514347296718</v>
      </c>
      <c r="P15" s="72">
        <f>P14*(1-$A$15)</f>
        <v>2.6181485208134525</v>
      </c>
      <c r="Q15" s="72">
        <f t="shared" si="5"/>
        <v>2.6920478742235101</v>
      </c>
    </row>
    <row r="16" spans="1:28" ht="35" hidden="1" thickBot="1" x14ac:dyDescent="0.25">
      <c r="A16" s="13" t="s">
        <v>5</v>
      </c>
      <c r="B16" s="14"/>
      <c r="C16" s="15">
        <f t="shared" ref="C16:J16" si="6">C15/C14</f>
        <v>0.89311234616911472</v>
      </c>
      <c r="D16" s="15">
        <f t="shared" si="6"/>
        <v>0.91935115375828191</v>
      </c>
      <c r="E16" s="15">
        <f t="shared" si="6"/>
        <v>0.88681531749878817</v>
      </c>
      <c r="F16" s="15">
        <f t="shared" si="6"/>
        <v>0.88795617213042322</v>
      </c>
      <c r="G16" s="15">
        <f t="shared" si="6"/>
        <v>0.86069651741293529</v>
      </c>
      <c r="H16" s="15">
        <f t="shared" si="6"/>
        <v>0.82764227642276422</v>
      </c>
      <c r="I16" s="15">
        <f t="shared" si="6"/>
        <v>0.82797427652733124</v>
      </c>
      <c r="J16" s="15">
        <f t="shared" si="6"/>
        <v>0.9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43.105938313169943</v>
      </c>
      <c r="H17" s="72">
        <f t="shared" ref="H17:P17" si="7">H15/H18</f>
        <v>49.383328836456414</v>
      </c>
      <c r="I17" s="72">
        <f t="shared" si="7"/>
        <v>56.021666234353276</v>
      </c>
      <c r="J17" s="72">
        <f t="shared" si="7"/>
        <v>67.987459022273399</v>
      </c>
      <c r="K17" s="72">
        <f t="shared" si="7"/>
        <v>74.256040092529076</v>
      </c>
      <c r="L17" s="72">
        <f t="shared" si="7"/>
        <v>80.437994554451919</v>
      </c>
      <c r="M17" s="72">
        <f t="shared" si="7"/>
        <v>89.908339665929873</v>
      </c>
      <c r="N17" s="72">
        <f t="shared" si="7"/>
        <v>97.9510493233185</v>
      </c>
      <c r="O17" s="72">
        <f t="shared" si="7"/>
        <v>103.21216869534217</v>
      </c>
      <c r="P17" s="72">
        <f t="shared" si="7"/>
        <v>110.50999880511385</v>
      </c>
      <c r="Q17" s="72"/>
    </row>
    <row r="18" spans="1:18" ht="35" thickBot="1" x14ac:dyDescent="0.25">
      <c r="A18" s="2" t="s">
        <v>35</v>
      </c>
      <c r="C18" s="107">
        <v>0.99</v>
      </c>
      <c r="D18" s="82"/>
      <c r="E18" s="82"/>
      <c r="F18" s="82"/>
      <c r="G18" s="72">
        <f>C50</f>
        <v>2.5934385000000001E-2</v>
      </c>
      <c r="H18" s="72">
        <f>G18*$C18</f>
        <v>2.5675041150000001E-2</v>
      </c>
      <c r="I18" s="72">
        <f t="shared" ref="I18:O18" si="8">H18*$C18</f>
        <v>2.54182907385E-2</v>
      </c>
      <c r="J18" s="72">
        <f t="shared" si="8"/>
        <v>2.5164107831115001E-2</v>
      </c>
      <c r="K18" s="72">
        <f t="shared" si="8"/>
        <v>2.4912466752803852E-2</v>
      </c>
      <c r="L18" s="72">
        <f t="shared" si="8"/>
        <v>2.4663342085275812E-2</v>
      </c>
      <c r="M18" s="72">
        <f t="shared" si="8"/>
        <v>2.4416708664423054E-2</v>
      </c>
      <c r="N18" s="72">
        <f t="shared" si="8"/>
        <v>2.4172541577778824E-2</v>
      </c>
      <c r="O18" s="72">
        <f t="shared" si="8"/>
        <v>2.3930816162001035E-2</v>
      </c>
      <c r="P18" s="72">
        <f>O18*$C18</f>
        <v>2.3691508000381025E-2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1.0305403043521546</v>
      </c>
      <c r="H19" s="53">
        <f>H15/(1+$C$55)^2</f>
        <v>1.0774456189663206</v>
      </c>
      <c r="I19" s="53">
        <f>I15/(1+$C$55)^3</f>
        <v>1.1154706282909028</v>
      </c>
      <c r="J19" s="53">
        <f>J15/(1+$C$55)^4</f>
        <v>1.2354297266378718</v>
      </c>
      <c r="K19" s="53">
        <f>K15/(1+$C$55)^5</f>
        <v>1.2314254982678752</v>
      </c>
      <c r="L19" s="53">
        <f>L15/(1+$C$55)^6</f>
        <v>1.2173759291003758</v>
      </c>
      <c r="M19" s="53">
        <f>M15/(1+$C$55)^7</f>
        <v>1.2417969046605266</v>
      </c>
      <c r="N19" s="53">
        <f>N15/(1+$C$55)^8</f>
        <v>1.2346583776955828</v>
      </c>
      <c r="O19" s="53">
        <f>O15/(1+$C$55)^9</f>
        <v>1.1872870689132231</v>
      </c>
      <c r="P19" s="53">
        <f>P15/(1+$C$55)^10</f>
        <v>1.1601483532830288</v>
      </c>
      <c r="Q19" s="54">
        <f>(Q15/(C55-Q12))/(1+C55)^10</f>
        <v>18.410001792671657</v>
      </c>
    </row>
    <row r="20" spans="1:18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2.8899999999999999E-2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5.5896000000000022E-2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1.36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8.4796000000000024E-2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8.4796000000000024E-2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1" hidden="1" customHeight="1" x14ac:dyDescent="0.2">
      <c r="A35" s="25"/>
      <c r="G35" s="25"/>
      <c r="J35" s="26"/>
    </row>
    <row r="36" spans="1:10" ht="11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1" hidden="1" customHeight="1" x14ac:dyDescent="0.2">
      <c r="A37" s="25"/>
      <c r="G37" s="25"/>
      <c r="J37" s="26"/>
    </row>
    <row r="38" spans="1:10" ht="11" hidden="1" customHeight="1" x14ac:dyDescent="0.2">
      <c r="A38" s="25"/>
      <c r="G38" s="25"/>
      <c r="J38" s="26"/>
    </row>
    <row r="39" spans="1:10" ht="11" hidden="1" customHeight="1" x14ac:dyDescent="0.2">
      <c r="A39" s="25"/>
      <c r="G39" s="25"/>
      <c r="J39" s="26"/>
    </row>
    <row r="40" spans="1:10" ht="11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t="11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t="11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t="11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t="11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8.4796000000000024E-2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45189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tr">
        <f>Pessimistisch!B49</f>
        <v>Marktkapitalisierung, Mrd.</v>
      </c>
      <c r="C49" s="56">
        <f>C50*C51</f>
        <v>24.897009600000001</v>
      </c>
      <c r="D49" s="47">
        <f>SUM(G19:Q19)</f>
        <v>30.141580202839521</v>
      </c>
      <c r="E49" s="46"/>
    </row>
    <row r="50" spans="1:17" x14ac:dyDescent="0.2">
      <c r="A50" s="45"/>
      <c r="B50" s="46" t="str">
        <f>Pessimistisch!B50</f>
        <v>Anzahl Aktien gesamt, Mrd.</v>
      </c>
      <c r="C50" s="56">
        <f>Pessimistisch!C50</f>
        <v>2.5934385000000001E-2</v>
      </c>
      <c r="D50" s="56">
        <f>C50</f>
        <v>2.5934385000000001E-2</v>
      </c>
      <c r="E50" s="46"/>
    </row>
    <row r="51" spans="1:17" x14ac:dyDescent="0.2">
      <c r="A51" s="45"/>
      <c r="B51" s="46" t="s">
        <v>11</v>
      </c>
      <c r="C51" s="56">
        <f>Pessimistisch!C51</f>
        <v>960</v>
      </c>
      <c r="D51" s="56">
        <f>D49/(D50)</f>
        <v>1162.2245988420207</v>
      </c>
      <c r="E51" s="46"/>
    </row>
    <row r="52" spans="1:17" x14ac:dyDescent="0.2">
      <c r="A52" s="45"/>
      <c r="B52" s="46" t="s">
        <v>2</v>
      </c>
      <c r="C52" s="46"/>
      <c r="D52" s="108">
        <f>IF(C51/D51-1&gt;0,0,C51/D51-1)*-1</f>
        <v>0.17399786499400083</v>
      </c>
      <c r="E52" s="46"/>
    </row>
    <row r="53" spans="1:17" x14ac:dyDescent="0.2">
      <c r="A53" s="45"/>
      <c r="B53" s="46" t="s">
        <v>12</v>
      </c>
      <c r="C53" s="46"/>
      <c r="D53" s="50">
        <f>IF(C51/D51-1&lt;0,0,C51/D51-1)</f>
        <v>0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8.4796000000000024E-2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20468.118578449546</v>
      </c>
      <c r="E57" s="46"/>
      <c r="F57" s="1" t="s">
        <v>21</v>
      </c>
      <c r="H57" s="1">
        <f>G15/(1+$B$57)</f>
        <v>1.0089584837545125</v>
      </c>
      <c r="I57" s="1">
        <f>H15/(1+$B$57)^2</f>
        <v>1.0327899164592265</v>
      </c>
      <c r="J57" s="1">
        <f>I15/(1+$B$57)^3</f>
        <v>1.0468466883282259</v>
      </c>
      <c r="K57" s="1">
        <f>J15/(1+$B$57)^4</f>
        <v>1.1351449097527071</v>
      </c>
      <c r="L57" s="1">
        <f>K15/(1+$B$57)^5</f>
        <v>1.1077702960445912</v>
      </c>
      <c r="M57" s="1">
        <f>L15/(1+$B$57)^6</f>
        <v>1.0721970272505656</v>
      </c>
      <c r="N57" s="1">
        <f>M15/(1+$B$57)^7</f>
        <v>1.0708010199948688</v>
      </c>
      <c r="O57" s="1">
        <f>N15/(1+$B$57)^8</f>
        <v>1.0423494116657628</v>
      </c>
      <c r="P57" s="1">
        <f>O15/(1+$B$57)^9</f>
        <v>0.98136501253042685</v>
      </c>
      <c r="Q57" s="1">
        <f>(Q15/(B57-Q12))/(1+B57)^10</f>
        <v>10.969895812668664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2032</v>
      </c>
      <c r="B59" s="23"/>
      <c r="C59" s="67">
        <v>22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2431.2199737125047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0.65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502.30308930290994</v>
      </c>
    </row>
    <row r="67" spans="1:5" x14ac:dyDescent="0.2">
      <c r="A67" s="25"/>
      <c r="E67" s="61"/>
    </row>
    <row r="68" spans="1:5" x14ac:dyDescent="0.2">
      <c r="A68" s="102" t="s">
        <v>40</v>
      </c>
      <c r="E68" s="103">
        <f>(E66*0.15)*-1</f>
        <v>-75.345463395436482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2032</v>
      </c>
      <c r="E70" s="60">
        <f>SUM(E62:E68)</f>
        <v>2858.1775996199781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2032 in Prozent</v>
      </c>
      <c r="E72" s="62">
        <f>E70/C51-1</f>
        <v>1.9772683329374772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2032 pro Jahr</v>
      </c>
      <c r="B74" s="64"/>
      <c r="C74" s="64"/>
      <c r="D74" s="64"/>
      <c r="E74" s="104">
        <f>(E70/C51)^(1/10)-1</f>
        <v>0.11527456510824896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K9">
    <cfRule type="top10" dxfId="6" priority="4" percent="1" rank="10"/>
  </conditionalFormatting>
  <conditionalFormatting sqref="L2:L5">
    <cfRule type="top10" dxfId="5" priority="3" percent="1" rank="10"/>
  </conditionalFormatting>
  <conditionalFormatting sqref="L6:L8">
    <cfRule type="top10" dxfId="4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1:AB75"/>
  <sheetViews>
    <sheetView tabSelected="1" zoomScaleNormal="100" workbookViewId="0">
      <selection activeCell="D59" sqref="D59"/>
    </sheetView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Partners Group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2019</v>
      </c>
      <c r="D10" s="11">
        <f>Pessimistisch!D10</f>
        <v>2020</v>
      </c>
      <c r="E10" s="11">
        <f>Pessimistisch!E10</f>
        <v>2021</v>
      </c>
      <c r="F10" s="11">
        <f>Pessimistisch!F10</f>
        <v>2022</v>
      </c>
      <c r="G10" s="55">
        <f>Pessimistisch!G10</f>
        <v>2023</v>
      </c>
      <c r="H10" s="55">
        <f>Pessimistisch!H10</f>
        <v>2024</v>
      </c>
      <c r="I10" s="55">
        <f>Pessimistisch!I10</f>
        <v>2025</v>
      </c>
      <c r="J10" s="55">
        <f>Pessimistisch!J10</f>
        <v>2026</v>
      </c>
      <c r="K10" s="55">
        <f>Pessimistisch!K10</f>
        <v>2027</v>
      </c>
      <c r="L10" s="55">
        <f>Pessimistisch!L10</f>
        <v>2028</v>
      </c>
      <c r="M10" s="55">
        <f>Pessimistisch!M10</f>
        <v>2029</v>
      </c>
      <c r="N10" s="55">
        <f>Pessimistisch!N10</f>
        <v>2030</v>
      </c>
      <c r="O10" s="55">
        <f>Pessimistisch!O10</f>
        <v>2031</v>
      </c>
      <c r="P10" s="55">
        <f>Pessimistisch!P10</f>
        <v>2032</v>
      </c>
      <c r="Q10" s="55" t="str">
        <f>Pessimistisch!Q10</f>
        <v>2033ff.</v>
      </c>
    </row>
    <row r="11" spans="1:28" x14ac:dyDescent="0.2">
      <c r="A11" s="5"/>
      <c r="B11" s="4" t="s">
        <v>4</v>
      </c>
      <c r="C11" s="82">
        <f>Pessimistisch!C11</f>
        <v>1.6102999999999998</v>
      </c>
      <c r="D11" s="82">
        <f>Pessimistisch!D11</f>
        <v>1.4123000000000001</v>
      </c>
      <c r="E11" s="82">
        <f>Pessimistisch!E11</f>
        <v>2.6287000000000003</v>
      </c>
      <c r="F11" s="82">
        <f>Pessimistisch!F11</f>
        <v>1.8719000000000001</v>
      </c>
      <c r="G11" s="72">
        <f>F11*(1+G12)</f>
        <v>2.0310115</v>
      </c>
      <c r="H11" s="72">
        <f t="shared" ref="H11:J11" si="0">G11*(1+H12)</f>
        <v>2.2036474774999997</v>
      </c>
      <c r="I11" s="72">
        <f t="shared" si="0"/>
        <v>2.3909575130874994</v>
      </c>
      <c r="J11" s="72">
        <f t="shared" si="0"/>
        <v>2.5941889016999369</v>
      </c>
      <c r="K11" s="72">
        <f>J11*(1+K12)</f>
        <v>2.8146949583444316</v>
      </c>
      <c r="L11" s="72">
        <f t="shared" ref="L11:Q11" si="1">K11*(1+L12)</f>
        <v>3.0539440298037084</v>
      </c>
      <c r="M11" s="72">
        <f t="shared" si="1"/>
        <v>3.3135292723370235</v>
      </c>
      <c r="N11" s="72">
        <f t="shared" si="1"/>
        <v>3.5951792604856703</v>
      </c>
      <c r="O11" s="72">
        <f t="shared" si="1"/>
        <v>3.900769497626952</v>
      </c>
      <c r="P11" s="72">
        <f t="shared" si="1"/>
        <v>4.232334904925243</v>
      </c>
      <c r="Q11" s="72">
        <f t="shared" si="1"/>
        <v>4.3169816030237476</v>
      </c>
    </row>
    <row r="12" spans="1:28" x14ac:dyDescent="0.2">
      <c r="A12" s="5"/>
      <c r="B12" s="4" t="s">
        <v>1</v>
      </c>
      <c r="C12" s="86"/>
      <c r="D12" s="89">
        <f>D11/C11-1</f>
        <v>-0.1229584549462831</v>
      </c>
      <c r="E12" s="89">
        <f>E11/D11-1</f>
        <v>0.86129009417262625</v>
      </c>
      <c r="F12" s="89">
        <f>F11/E11-1</f>
        <v>-0.28789896146384142</v>
      </c>
      <c r="G12" s="85">
        <v>8.5000000000000006E-2</v>
      </c>
      <c r="H12" s="85">
        <f>G12</f>
        <v>8.5000000000000006E-2</v>
      </c>
      <c r="I12" s="85">
        <f t="shared" ref="I12:P12" si="2">H12</f>
        <v>8.5000000000000006E-2</v>
      </c>
      <c r="J12" s="85">
        <f t="shared" si="2"/>
        <v>8.5000000000000006E-2</v>
      </c>
      <c r="K12" s="85">
        <f t="shared" si="2"/>
        <v>8.5000000000000006E-2</v>
      </c>
      <c r="L12" s="85">
        <f t="shared" si="2"/>
        <v>8.5000000000000006E-2</v>
      </c>
      <c r="M12" s="85">
        <f t="shared" si="2"/>
        <v>8.5000000000000006E-2</v>
      </c>
      <c r="N12" s="85">
        <f t="shared" si="2"/>
        <v>8.5000000000000006E-2</v>
      </c>
      <c r="O12" s="85">
        <f t="shared" si="2"/>
        <v>8.5000000000000006E-2</v>
      </c>
      <c r="P12" s="85">
        <f t="shared" si="2"/>
        <v>8.5000000000000006E-2</v>
      </c>
      <c r="Q12" s="85">
        <f>Optimistisch!Q12</f>
        <v>0.02</v>
      </c>
    </row>
    <row r="13" spans="1:28" ht="16" customHeight="1" x14ac:dyDescent="0.2">
      <c r="A13" s="5"/>
      <c r="B13" s="4" t="s">
        <v>13</v>
      </c>
      <c r="C13" s="88">
        <f>C14/C11</f>
        <v>0.62572191517108622</v>
      </c>
      <c r="D13" s="88">
        <f t="shared" ref="D13:F13" si="3">D14/D11</f>
        <v>0.61983997734192442</v>
      </c>
      <c r="E13" s="88">
        <f t="shared" si="3"/>
        <v>0.62783885570814468</v>
      </c>
      <c r="F13" s="88">
        <f t="shared" si="3"/>
        <v>0.60457289385116719</v>
      </c>
      <c r="G13" s="84">
        <f>(Pessimistisch!G13+Optimistisch!G13)/2</f>
        <v>0.60299999999999998</v>
      </c>
      <c r="H13" s="84">
        <f>(Pessimistisch!H13+Optimistisch!H13)/2</f>
        <v>0.61499999999999999</v>
      </c>
      <c r="I13" s="84">
        <f>(Pessimistisch!I13+Optimistisch!I13)/2</f>
        <v>0.622</v>
      </c>
      <c r="J13" s="84">
        <f>(Pessimistisch!J13+Optimistisch!J13)/2</f>
        <v>0.61250000000000004</v>
      </c>
      <c r="K13" s="84">
        <f>(Pessimistisch!K13+Optimistisch!K13)/2</f>
        <v>0.60499999999999998</v>
      </c>
      <c r="L13" s="84">
        <f>(Pessimistisch!L13+Optimistisch!L13)/2</f>
        <v>0.59499999999999997</v>
      </c>
      <c r="M13" s="84">
        <f>(Pessimistisch!M13+Optimistisch!M13)/2</f>
        <v>0.59749999999999992</v>
      </c>
      <c r="N13" s="84">
        <f>(Pessimistisch!N13+Optimistisch!N13)/2</f>
        <v>0.59499999999999997</v>
      </c>
      <c r="O13" s="84">
        <f>(Pessimistisch!O13+Optimistisch!O13)/2</f>
        <v>0.58499999999999996</v>
      </c>
      <c r="P13" s="84">
        <f>(Pessimistisch!P13+Optimistisch!P13)/2</f>
        <v>0.58000000000000007</v>
      </c>
      <c r="Q13" s="84">
        <f>(Pessimistisch!Q13+Optimistisch!Q13)/2</f>
        <v>0.58250000000000002</v>
      </c>
    </row>
    <row r="14" spans="1:28" ht="17.25" customHeight="1" x14ac:dyDescent="0.2">
      <c r="A14" s="5"/>
      <c r="B14" s="4" t="s">
        <v>14</v>
      </c>
      <c r="C14" s="82">
        <f>Pessimistisch!C14</f>
        <v>1.0076000000000001</v>
      </c>
      <c r="D14" s="82">
        <f>Pessimistisch!D14</f>
        <v>0.87539999999999996</v>
      </c>
      <c r="E14" s="82">
        <f>Pessimistisch!E14</f>
        <v>1.6504000000000001</v>
      </c>
      <c r="F14" s="82">
        <f>Pessimistisch!F14</f>
        <v>1.1316999999999999</v>
      </c>
      <c r="G14" s="72">
        <f t="shared" ref="G14:J14" si="4">G11*G13</f>
        <v>1.2246999345</v>
      </c>
      <c r="H14" s="72">
        <f t="shared" si="4"/>
        <v>1.3552431986624998</v>
      </c>
      <c r="I14" s="72">
        <f t="shared" si="4"/>
        <v>1.4871755731404246</v>
      </c>
      <c r="J14" s="72">
        <f t="shared" si="4"/>
        <v>1.5889407022912114</v>
      </c>
      <c r="K14" s="72">
        <f t="shared" ref="K14:Q14" si="5">K11*K13</f>
        <v>1.702890449798381</v>
      </c>
      <c r="L14" s="72">
        <f t="shared" si="5"/>
        <v>1.8170966977332064</v>
      </c>
      <c r="M14" s="72">
        <f t="shared" si="5"/>
        <v>1.9798337402213713</v>
      </c>
      <c r="N14" s="72">
        <f t="shared" si="5"/>
        <v>2.1391316599889736</v>
      </c>
      <c r="O14" s="72">
        <f>O11*O13</f>
        <v>2.2819501561117668</v>
      </c>
      <c r="P14" s="72">
        <f t="shared" si="5"/>
        <v>2.4547542448566411</v>
      </c>
      <c r="Q14" s="72">
        <f t="shared" si="5"/>
        <v>2.5146417837613328</v>
      </c>
    </row>
    <row r="15" spans="1:28" x14ac:dyDescent="0.2">
      <c r="A15" s="100">
        <v>0.125</v>
      </c>
      <c r="B15" s="4" t="s">
        <v>36</v>
      </c>
      <c r="C15" s="82">
        <f>Pessimistisch!C15</f>
        <v>0.89990000000000003</v>
      </c>
      <c r="D15" s="82">
        <f>Pessimistisch!D15</f>
        <v>0.80479999999999996</v>
      </c>
      <c r="E15" s="82">
        <f>Pessimistisch!E15</f>
        <v>1.4636</v>
      </c>
      <c r="F15" s="82">
        <f>Pessimistisch!F15</f>
        <v>1.0048999999999999</v>
      </c>
      <c r="G15" s="72">
        <f>G14*(1-$A$15)</f>
        <v>1.0716124426875</v>
      </c>
      <c r="H15" s="72">
        <f>H14*(1-$A$15)</f>
        <v>1.1858377988296873</v>
      </c>
      <c r="I15" s="72">
        <f>I14*(1-$A$15)</f>
        <v>1.3012786264978715</v>
      </c>
      <c r="J15" s="72">
        <f>J14*(1-$A$15)</f>
        <v>1.3903231145048101</v>
      </c>
      <c r="K15" s="72">
        <f>K14*(1-$A$15)</f>
        <v>1.4900291435735833</v>
      </c>
      <c r="L15" s="72">
        <f t="shared" ref="L15:Q15" si="6">L14*(1-$A$15)</f>
        <v>1.5899596105165557</v>
      </c>
      <c r="M15" s="72">
        <f t="shared" si="6"/>
        <v>1.7323545226936998</v>
      </c>
      <c r="N15" s="72">
        <f t="shared" si="6"/>
        <v>1.871740202490352</v>
      </c>
      <c r="O15" s="72">
        <f>O14*(1-$A$15)</f>
        <v>1.9967063865977959</v>
      </c>
      <c r="P15" s="72">
        <f t="shared" si="6"/>
        <v>2.1479099642495609</v>
      </c>
      <c r="Q15" s="72">
        <f t="shared" si="6"/>
        <v>2.2003115607911661</v>
      </c>
    </row>
    <row r="16" spans="1:28" ht="22" hidden="1" thickBot="1" x14ac:dyDescent="0.25">
      <c r="A16" s="13" t="s">
        <v>5</v>
      </c>
      <c r="B16" s="14"/>
      <c r="C16" s="15">
        <f t="shared" ref="C16:J16" si="7">C15/C14</f>
        <v>0.89311234616911472</v>
      </c>
      <c r="D16" s="15">
        <f t="shared" si="7"/>
        <v>0.91935115375828191</v>
      </c>
      <c r="E16" s="15">
        <f t="shared" si="7"/>
        <v>0.88681531749878817</v>
      </c>
      <c r="F16" s="15">
        <f t="shared" si="7"/>
        <v>0.88795617213042322</v>
      </c>
      <c r="G16" s="15">
        <f t="shared" si="7"/>
        <v>0.875</v>
      </c>
      <c r="H16" s="15">
        <f t="shared" si="7"/>
        <v>0.875</v>
      </c>
      <c r="I16" s="15">
        <f t="shared" si="7"/>
        <v>0.875</v>
      </c>
      <c r="J16" s="15">
        <f t="shared" si="7"/>
        <v>0.875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41.320140912826737</v>
      </c>
      <c r="H17" s="72">
        <f t="shared" ref="H17:O17" si="8">H15/H18</f>
        <v>45.724539017589478</v>
      </c>
      <c r="I17" s="72">
        <f t="shared" si="8"/>
        <v>50.175804303740826</v>
      </c>
      <c r="J17" s="72">
        <f t="shared" si="8"/>
        <v>53.609257150489981</v>
      </c>
      <c r="K17" s="72">
        <f t="shared" si="8"/>
        <v>57.453806734710817</v>
      </c>
      <c r="L17" s="72">
        <f t="shared" si="8"/>
        <v>61.307010384728834</v>
      </c>
      <c r="M17" s="72">
        <f t="shared" si="8"/>
        <v>66.797594108890564</v>
      </c>
      <c r="N17" s="72">
        <f t="shared" si="8"/>
        <v>72.172145300162384</v>
      </c>
      <c r="O17" s="72">
        <f t="shared" si="8"/>
        <v>76.990697354026167</v>
      </c>
      <c r="P17" s="72">
        <f>P15/P18</f>
        <v>82.820933068185767</v>
      </c>
      <c r="Q17" s="72"/>
    </row>
    <row r="18" spans="1:18" ht="35" thickBot="1" x14ac:dyDescent="0.25">
      <c r="A18" s="2" t="s">
        <v>35</v>
      </c>
      <c r="C18" s="82"/>
      <c r="D18" s="82"/>
      <c r="E18" s="82"/>
      <c r="F18" s="82"/>
      <c r="G18" s="72">
        <f>C50</f>
        <v>2.5934385000000001E-2</v>
      </c>
      <c r="H18" s="72">
        <f>G18*Pessimistisch!$C18</f>
        <v>2.5934385000000001E-2</v>
      </c>
      <c r="I18" s="72">
        <f>H18*Pessimistisch!$C18</f>
        <v>2.5934385000000001E-2</v>
      </c>
      <c r="J18" s="72">
        <f>I18*Pessimistisch!$C18</f>
        <v>2.5934385000000001E-2</v>
      </c>
      <c r="K18" s="72">
        <f>J18*Pessimistisch!$C18</f>
        <v>2.5934385000000001E-2</v>
      </c>
      <c r="L18" s="72">
        <f>K18*Pessimistisch!$C18</f>
        <v>2.5934385000000001E-2</v>
      </c>
      <c r="M18" s="72">
        <f>L18*Pessimistisch!$C18</f>
        <v>2.5934385000000001E-2</v>
      </c>
      <c r="N18" s="72">
        <f>M18*Pessimistisch!$C18</f>
        <v>2.5934385000000001E-2</v>
      </c>
      <c r="O18" s="72">
        <f>N18*Pessimistisch!$C18</f>
        <v>2.5934385000000001E-2</v>
      </c>
      <c r="P18" s="72">
        <f>O18*Pessimistisch!$C18</f>
        <v>2.5934385000000001E-2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0.98784697093969731</v>
      </c>
      <c r="H19" s="53">
        <f>H15/(1+$C$55)^2</f>
        <v>1.0076950823780633</v>
      </c>
      <c r="I19" s="53">
        <f>I15/(1+$C$55)^3</f>
        <v>1.019356440303449</v>
      </c>
      <c r="J19" s="53">
        <f>J15/(1+$C$55)^4</f>
        <v>1.0039762574992555</v>
      </c>
      <c r="K19" s="53">
        <f>K15/(1+$C$55)^5</f>
        <v>0.99186916035818351</v>
      </c>
      <c r="L19" s="53">
        <f>L15/(1+$C$55)^6</f>
        <v>0.97565807048374664</v>
      </c>
      <c r="M19" s="53">
        <f>M15/(1+$C$55)^7</f>
        <v>0.97994172124827761</v>
      </c>
      <c r="N19" s="53">
        <f>N15/(1+$C$55)^8</f>
        <v>0.9760250573844188</v>
      </c>
      <c r="O19" s="53">
        <f>O15/(1+$C$55)^9</f>
        <v>0.9598017353258087</v>
      </c>
      <c r="P19" s="53">
        <f>P15/(1+$C$55)^10</f>
        <v>0.95177725335845798</v>
      </c>
      <c r="Q19" s="54">
        <f>(Q15/(C55-Q12))/(1+C55)^10</f>
        <v>15.047184029104807</v>
      </c>
    </row>
    <row r="20" spans="1:18" x14ac:dyDescent="0.2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59" t="s">
        <v>23</v>
      </c>
      <c r="H23" s="23"/>
      <c r="I23" s="78">
        <v>2.8899999999999999E-2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">
      <c r="A25" s="35"/>
      <c r="B25" s="36"/>
      <c r="C25" s="36"/>
      <c r="D25" s="38"/>
      <c r="F25" s="36"/>
      <c r="G25" s="25" t="s">
        <v>25</v>
      </c>
      <c r="I25" s="80">
        <f>(I27-I23)*I29</f>
        <v>5.5896000000000022E-2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9"/>
      <c r="J26" s="26"/>
    </row>
    <row r="27" spans="1:18" x14ac:dyDescent="0.2">
      <c r="A27" s="35"/>
      <c r="B27" s="36"/>
      <c r="C27" s="36"/>
      <c r="D27" s="38"/>
      <c r="F27" s="36"/>
      <c r="G27" s="25" t="s">
        <v>26</v>
      </c>
      <c r="I27" s="81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25"/>
      <c r="I28" s="79"/>
      <c r="J28" s="26"/>
    </row>
    <row r="29" spans="1:18" x14ac:dyDescent="0.2">
      <c r="A29" s="35"/>
      <c r="B29" s="36"/>
      <c r="C29" s="36"/>
      <c r="D29" s="39"/>
      <c r="F29" s="36"/>
      <c r="G29" s="25" t="s">
        <v>32</v>
      </c>
      <c r="I29" s="79">
        <v>1.36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25"/>
      <c r="I30" s="79"/>
      <c r="J30" s="26"/>
    </row>
    <row r="31" spans="1:18" x14ac:dyDescent="0.2">
      <c r="A31" s="35"/>
      <c r="B31" s="36"/>
      <c r="C31" s="36"/>
      <c r="D31" s="37"/>
      <c r="F31" s="36"/>
      <c r="G31" s="25" t="s">
        <v>29</v>
      </c>
      <c r="I31" s="81">
        <f>I23+(I27-I23)*I29</f>
        <v>8.4796000000000024E-2</v>
      </c>
      <c r="J31" s="26" t="s">
        <v>30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6" t="s">
        <v>31</v>
      </c>
      <c r="H33" s="22"/>
      <c r="I33" s="77">
        <f>I31</f>
        <v>8.4796000000000024E-2</v>
      </c>
      <c r="J33" s="26"/>
    </row>
    <row r="34" spans="1:10" x14ac:dyDescent="0.2">
      <c r="A34" s="35" t="s">
        <v>6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8.4796000000000024E-2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45189</v>
      </c>
      <c r="D48" s="18" t="s">
        <v>3</v>
      </c>
      <c r="E48" s="19"/>
      <c r="F48" s="20"/>
      <c r="G48" s="21"/>
      <c r="H48" s="21"/>
      <c r="I48" s="21"/>
    </row>
    <row r="49" spans="1:20" ht="17" x14ac:dyDescent="0.2">
      <c r="A49" s="45" t="s">
        <v>0</v>
      </c>
      <c r="B49" s="46" t="str">
        <f>Pessimistisch!B49</f>
        <v>Marktkapitalisierung, Mrd.</v>
      </c>
      <c r="C49" s="56">
        <f>C50*C51</f>
        <v>24.897009600000001</v>
      </c>
      <c r="D49" s="47">
        <f>SUM(G19:Q19)</f>
        <v>24.901131778384165</v>
      </c>
      <c r="E49" s="46"/>
    </row>
    <row r="50" spans="1:20" x14ac:dyDescent="0.2">
      <c r="A50" s="45"/>
      <c r="B50" s="46" t="str">
        <f>Pessimistisch!B50</f>
        <v>Anzahl Aktien gesamt, Mrd.</v>
      </c>
      <c r="C50" s="56">
        <f>Pessimistisch!C50</f>
        <v>2.5934385000000001E-2</v>
      </c>
      <c r="D50" s="56">
        <f>C50</f>
        <v>2.5934385000000001E-2</v>
      </c>
      <c r="E50" s="46"/>
    </row>
    <row r="51" spans="1:20" x14ac:dyDescent="0.2">
      <c r="A51" s="45"/>
      <c r="B51" s="46" t="s">
        <v>11</v>
      </c>
      <c r="C51" s="56">
        <f>Pessimistisch!C51</f>
        <v>960</v>
      </c>
      <c r="D51" s="87">
        <f>D49/(D50)</f>
        <v>960.15894644828347</v>
      </c>
      <c r="E51" s="46"/>
    </row>
    <row r="52" spans="1:20" x14ac:dyDescent="0.2">
      <c r="A52" s="45"/>
      <c r="B52" s="46" t="s">
        <v>2</v>
      </c>
      <c r="C52" s="46"/>
      <c r="D52" s="57">
        <f>IF(C51/D51-1&gt;0,0,C51/D51-1)*-1</f>
        <v>1.6554180833439069E-4</v>
      </c>
      <c r="E52" s="46"/>
    </row>
    <row r="53" spans="1:20" x14ac:dyDescent="0.2">
      <c r="A53" s="45"/>
      <c r="B53" s="46" t="s">
        <v>12</v>
      </c>
      <c r="C53" s="46"/>
      <c r="D53" s="58">
        <f>IF(C51/D51-1&lt;0,0,C51/D51-1)</f>
        <v>0</v>
      </c>
      <c r="E53" s="46"/>
    </row>
    <row r="54" spans="1:20" x14ac:dyDescent="0.2">
      <c r="A54" s="46"/>
      <c r="B54" s="46"/>
      <c r="C54" s="46"/>
      <c r="D54" s="48"/>
      <c r="E54" s="48"/>
    </row>
    <row r="55" spans="1:20" x14ac:dyDescent="0.2">
      <c r="A55" s="48" t="s">
        <v>17</v>
      </c>
      <c r="B55" s="46"/>
      <c r="C55" s="50">
        <f>D46</f>
        <v>8.4796000000000024E-2</v>
      </c>
      <c r="D55" s="49"/>
      <c r="E55" s="46"/>
      <c r="J55" s="70"/>
    </row>
    <row r="56" spans="1:20" x14ac:dyDescent="0.2">
      <c r="A56" s="48"/>
      <c r="B56" s="46"/>
      <c r="C56" s="50"/>
      <c r="D56" s="49"/>
      <c r="E56" s="46"/>
    </row>
    <row r="57" spans="1:20" hidden="1" x14ac:dyDescent="0.2">
      <c r="A57" s="48" t="s">
        <v>20</v>
      </c>
      <c r="B57" s="73">
        <v>0.108</v>
      </c>
      <c r="C57" s="50"/>
      <c r="D57" s="74">
        <f>SUM(H57:Q57)*1000</f>
        <v>16992.234297327486</v>
      </c>
      <c r="E57" s="46"/>
      <c r="F57" s="1" t="s">
        <v>21</v>
      </c>
      <c r="H57" s="1">
        <f>G15/(1+$B$57)</f>
        <v>0.96715924430279776</v>
      </c>
      <c r="I57" s="1">
        <f>H15/(1+$B$57)^2</f>
        <v>0.96593025357890028</v>
      </c>
      <c r="J57" s="1">
        <f>I15/(1+$B$57)^3</f>
        <v>0.95664546129082262</v>
      </c>
      <c r="K57" s="1">
        <f>J15/(1+$B$57)^4</f>
        <v>0.92247945280898092</v>
      </c>
      <c r="L57" s="1">
        <f>K15/(1+$B$57)^5</f>
        <v>0.8922693211672218</v>
      </c>
      <c r="M57" s="1">
        <f>L15/(1+$B$57)^6</f>
        <v>0.85930537788663852</v>
      </c>
      <c r="N57" s="1">
        <f>M15/(1+$B$57)^7</f>
        <v>0.84500339041756523</v>
      </c>
      <c r="O57" s="1">
        <f>N15/(1+$B$57)^8</f>
        <v>0.82400051926471529</v>
      </c>
      <c r="P57" s="1">
        <f>O15/(1+$B$57)^9</f>
        <v>0.79333454113748192</v>
      </c>
      <c r="Q57" s="1">
        <f>(Q15/(B57-Q12))/(1+B57)^10</f>
        <v>8.9661067354723603</v>
      </c>
    </row>
    <row r="58" spans="1:20" ht="17" thickBot="1" x14ac:dyDescent="0.25">
      <c r="A58" s="22"/>
      <c r="C58" s="65"/>
      <c r="D58" s="66"/>
    </row>
    <row r="59" spans="1:20" x14ac:dyDescent="0.2">
      <c r="A59" s="59" t="str">
        <f>Pessimistisch!A59</f>
        <v>KGV Multiple in 2032</v>
      </c>
      <c r="B59" s="23"/>
      <c r="C59" s="67">
        <v>27</v>
      </c>
      <c r="D59" s="23"/>
      <c r="E59" s="24"/>
    </row>
    <row r="60" spans="1:20" x14ac:dyDescent="0.2">
      <c r="A60" s="25" t="s">
        <v>19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2">
      <c r="A61" s="25"/>
      <c r="C61" s="68"/>
      <c r="E61" s="26"/>
    </row>
    <row r="62" spans="1:20" x14ac:dyDescent="0.2">
      <c r="A62" s="25" t="s">
        <v>34</v>
      </c>
      <c r="C62" s="68"/>
      <c r="E62" s="60">
        <f>P17*C59</f>
        <v>2236.1651928410156</v>
      </c>
    </row>
    <row r="63" spans="1:20" x14ac:dyDescent="0.2">
      <c r="A63" s="25"/>
      <c r="C63" s="68"/>
      <c r="E63" s="26"/>
    </row>
    <row r="64" spans="1:20" x14ac:dyDescent="0.2">
      <c r="A64" s="25" t="s">
        <v>15</v>
      </c>
      <c r="C64" s="69">
        <v>0.55000000000000004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334.60456058444339</v>
      </c>
    </row>
    <row r="67" spans="1:5" x14ac:dyDescent="0.2">
      <c r="A67" s="25"/>
      <c r="E67" s="61"/>
    </row>
    <row r="68" spans="1:5" x14ac:dyDescent="0.2">
      <c r="A68" s="102" t="s">
        <v>40</v>
      </c>
      <c r="E68" s="103">
        <f>(E66*0.15)*-1</f>
        <v>-50.190684087666504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Pessimistisch!A70</f>
        <v>Gesamtwert 2032</v>
      </c>
      <c r="E70" s="60">
        <f>SUM(E62:E68)</f>
        <v>2520.5790693377926</v>
      </c>
    </row>
    <row r="71" spans="1:5" x14ac:dyDescent="0.2">
      <c r="A71" s="25"/>
      <c r="E71" s="60"/>
    </row>
    <row r="72" spans="1:5" x14ac:dyDescent="0.2">
      <c r="A72" s="25" t="str">
        <f>Pessimistisch!A72</f>
        <v>Steigerung Gesamt bis 2032 in Prozent</v>
      </c>
      <c r="E72" s="62">
        <f>E70/C51-1</f>
        <v>1.6256031972268672</v>
      </c>
    </row>
    <row r="73" spans="1:5" x14ac:dyDescent="0.2">
      <c r="A73" s="25"/>
      <c r="E73" s="106"/>
    </row>
    <row r="74" spans="1:5" ht="17" thickBot="1" x14ac:dyDescent="0.25">
      <c r="A74" s="63" t="str">
        <f>Pessimistisch!A74</f>
        <v>Renditeerwartung bis 2032 pro Jahr</v>
      </c>
      <c r="B74" s="64"/>
      <c r="C74" s="64"/>
      <c r="D74" s="64"/>
      <c r="E74" s="105">
        <f>(E70/C51)^(1/10)-1</f>
        <v>0.10134379485579514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Tilman Reichel</cp:lastModifiedBy>
  <cp:lastPrinted>2021-08-03T18:16:56Z</cp:lastPrinted>
  <dcterms:created xsi:type="dcterms:W3CDTF">2020-02-09T06:30:31Z</dcterms:created>
  <dcterms:modified xsi:type="dcterms:W3CDTF">2023-10-20T23:48:59Z</dcterms:modified>
</cp:coreProperties>
</file>