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lmanreichel/Documents/Wir lieben Aktien/TIS/"/>
    </mc:Choice>
  </mc:AlternateContent>
  <xr:revisionPtr revIDLastSave="0" documentId="13_ncr:1_{5167425C-2718-6F40-8D4D-CF0AC085BB12}" xr6:coauthVersionLast="47" xr6:coauthVersionMax="47" xr10:uidLastSave="{00000000-0000-0000-0000-000000000000}"/>
  <bookViews>
    <workbookView xWindow="0" yWindow="0" windowWidth="30740" windowHeight="28800" xr2:uid="{00000000-000D-0000-FFFF-FFFF00000000}"/>
  </bookViews>
  <sheets>
    <sheet name="Pessimistisch" sheetId="34" r:id="rId1"/>
    <sheet name="Optimistisch" sheetId="37" r:id="rId2"/>
    <sheet name="Wachstum für faire Bewertung" sheetId="3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37" l="1"/>
  <c r="C51" i="35"/>
  <c r="C50" i="34" l="1"/>
  <c r="H15" i="35"/>
  <c r="I15" i="35"/>
  <c r="G15" i="35"/>
  <c r="K13" i="35"/>
  <c r="L13" i="35"/>
  <c r="M13" i="35"/>
  <c r="N13" i="35"/>
  <c r="O13" i="35"/>
  <c r="P13" i="35"/>
  <c r="Q13" i="35"/>
  <c r="J13" i="35"/>
  <c r="H13" i="35"/>
  <c r="I13" i="35"/>
  <c r="G13" i="35"/>
  <c r="I33" i="34"/>
  <c r="I18" i="35"/>
  <c r="J18" i="35" s="1"/>
  <c r="K18" i="35" s="1"/>
  <c r="L18" i="35" s="1"/>
  <c r="M18" i="35" s="1"/>
  <c r="N18" i="35" s="1"/>
  <c r="O18" i="35" s="1"/>
  <c r="P18" i="35" s="1"/>
  <c r="H18" i="35"/>
  <c r="I29" i="35"/>
  <c r="I23" i="35"/>
  <c r="I29" i="37"/>
  <c r="I23" i="37"/>
  <c r="G18" i="34"/>
  <c r="H18" i="34" s="1"/>
  <c r="I18" i="34" s="1"/>
  <c r="J18" i="34" s="1"/>
  <c r="K18" i="34" s="1"/>
  <c r="L18" i="34" s="1"/>
  <c r="M18" i="34" s="1"/>
  <c r="N18" i="34" s="1"/>
  <c r="O18" i="34" s="1"/>
  <c r="P18" i="34" s="1"/>
  <c r="C10" i="35"/>
  <c r="C10" i="37"/>
  <c r="B6" i="37"/>
  <c r="B6" i="35"/>
  <c r="B4" i="35"/>
  <c r="B4" i="37"/>
  <c r="B50" i="35"/>
  <c r="B49" i="35"/>
  <c r="B50" i="37"/>
  <c r="B49" i="37"/>
  <c r="C50" i="35"/>
  <c r="C50" i="37"/>
  <c r="C48" i="35"/>
  <c r="C48" i="37"/>
  <c r="F15" i="35"/>
  <c r="E15" i="35"/>
  <c r="D15" i="35"/>
  <c r="C15" i="35"/>
  <c r="D14" i="35" l="1"/>
  <c r="E14" i="35"/>
  <c r="F14" i="35"/>
  <c r="C14" i="35"/>
  <c r="D11" i="35"/>
  <c r="E11" i="35"/>
  <c r="F11" i="35"/>
  <c r="C11" i="35"/>
  <c r="H15" i="37"/>
  <c r="I15" i="37"/>
  <c r="I16" i="37" s="1"/>
  <c r="G15" i="37"/>
  <c r="H57" i="37" s="1"/>
  <c r="D15" i="37"/>
  <c r="E15" i="37"/>
  <c r="F15" i="37"/>
  <c r="C15" i="37"/>
  <c r="H14" i="37"/>
  <c r="I14" i="37"/>
  <c r="G14" i="37"/>
  <c r="D14" i="37"/>
  <c r="E14" i="37"/>
  <c r="F14" i="37"/>
  <c r="C14" i="37"/>
  <c r="C16" i="37" s="1"/>
  <c r="I11" i="37"/>
  <c r="J11" i="37" s="1"/>
  <c r="H11" i="37"/>
  <c r="G11" i="37"/>
  <c r="F11" i="37"/>
  <c r="D11" i="37"/>
  <c r="E11" i="37"/>
  <c r="C11" i="37"/>
  <c r="I57" i="37"/>
  <c r="D50" i="37"/>
  <c r="C49" i="37"/>
  <c r="I31" i="37"/>
  <c r="I33" i="37" s="1"/>
  <c r="D46" i="37" s="1"/>
  <c r="C55" i="37" s="1"/>
  <c r="I25" i="37"/>
  <c r="G18" i="37"/>
  <c r="H18" i="37" s="1"/>
  <c r="I18" i="37" s="1"/>
  <c r="J18" i="37" s="1"/>
  <c r="K18" i="37" s="1"/>
  <c r="L18" i="37" s="1"/>
  <c r="M18" i="37" s="1"/>
  <c r="N18" i="37" s="1"/>
  <c r="O18" i="37" s="1"/>
  <c r="P18" i="37" s="1"/>
  <c r="H13" i="34"/>
  <c r="I13" i="34"/>
  <c r="G13" i="34"/>
  <c r="J11" i="34"/>
  <c r="J14" i="34" s="1"/>
  <c r="J15" i="34" s="1"/>
  <c r="J17" i="34" s="1"/>
  <c r="J57" i="37" l="1"/>
  <c r="H16" i="37"/>
  <c r="G16" i="37"/>
  <c r="F16" i="37"/>
  <c r="E16" i="37"/>
  <c r="D16" i="37"/>
  <c r="E13" i="37"/>
  <c r="C13" i="37"/>
  <c r="F13" i="37"/>
  <c r="G13" i="37"/>
  <c r="I12" i="37"/>
  <c r="I13" i="37"/>
  <c r="H13" i="37"/>
  <c r="H12" i="37"/>
  <c r="G12" i="37"/>
  <c r="E12" i="37"/>
  <c r="F12" i="37"/>
  <c r="D13" i="37"/>
  <c r="D12" i="37"/>
  <c r="G17" i="37"/>
  <c r="K11" i="37"/>
  <c r="L11" i="37" s="1"/>
  <c r="J14" i="37"/>
  <c r="G19" i="37"/>
  <c r="I19" i="37"/>
  <c r="H19" i="37"/>
  <c r="H17" i="37"/>
  <c r="H12" i="35"/>
  <c r="I12" i="35" s="1"/>
  <c r="J12" i="35" s="1"/>
  <c r="K12" i="35" s="1"/>
  <c r="L12" i="35" s="1"/>
  <c r="M12" i="35" s="1"/>
  <c r="N12" i="35" s="1"/>
  <c r="O12" i="35" s="1"/>
  <c r="P12" i="35" s="1"/>
  <c r="D13" i="35"/>
  <c r="E13" i="35"/>
  <c r="F13" i="35"/>
  <c r="C13" i="35"/>
  <c r="D10" i="34"/>
  <c r="C49" i="34"/>
  <c r="D50" i="34"/>
  <c r="I31" i="34"/>
  <c r="D13" i="34"/>
  <c r="E13" i="34"/>
  <c r="F13" i="34"/>
  <c r="C13" i="34"/>
  <c r="G11" i="35"/>
  <c r="K14" i="37" l="1"/>
  <c r="K15" i="37" s="1"/>
  <c r="L57" i="37" s="1"/>
  <c r="E10" i="34"/>
  <c r="D10" i="35"/>
  <c r="D10" i="37"/>
  <c r="J15" i="37"/>
  <c r="K57" i="37" s="1"/>
  <c r="L14" i="37"/>
  <c r="L15" i="37" s="1"/>
  <c r="M11" i="37"/>
  <c r="I17" i="37"/>
  <c r="K19" i="37" l="1"/>
  <c r="J16" i="37"/>
  <c r="F10" i="34"/>
  <c r="E10" i="35"/>
  <c r="E10" i="37"/>
  <c r="J19" i="37"/>
  <c r="J17" i="37"/>
  <c r="M14" i="37"/>
  <c r="M15" i="37" s="1"/>
  <c r="N11" i="37"/>
  <c r="L19" i="37"/>
  <c r="M57" i="37"/>
  <c r="H11" i="35"/>
  <c r="G10" i="34" l="1"/>
  <c r="F10" i="37"/>
  <c r="F10" i="35"/>
  <c r="M19" i="37"/>
  <c r="N57" i="37"/>
  <c r="N14" i="37"/>
  <c r="N15" i="37" s="1"/>
  <c r="O11" i="37"/>
  <c r="K17" i="37"/>
  <c r="H12" i="34"/>
  <c r="I12" i="34"/>
  <c r="H10" i="34" l="1"/>
  <c r="G10" i="35"/>
  <c r="G10" i="37"/>
  <c r="P11" i="37"/>
  <c r="O14" i="37"/>
  <c r="O15" i="37" s="1"/>
  <c r="O57" i="37"/>
  <c r="N19" i="37"/>
  <c r="L17" i="37"/>
  <c r="I11" i="35"/>
  <c r="D50" i="35"/>
  <c r="C49" i="35"/>
  <c r="I31" i="35"/>
  <c r="I33" i="35" s="1"/>
  <c r="D46" i="35" s="1"/>
  <c r="C55" i="35" s="1"/>
  <c r="I25" i="35"/>
  <c r="G18" i="35"/>
  <c r="F16" i="35"/>
  <c r="E16" i="35"/>
  <c r="D16" i="35"/>
  <c r="C16" i="35"/>
  <c r="F12" i="35"/>
  <c r="E12" i="35"/>
  <c r="D12" i="35"/>
  <c r="I10" i="34" l="1"/>
  <c r="H10" i="35"/>
  <c r="H10" i="37"/>
  <c r="O19" i="37"/>
  <c r="P57" i="37"/>
  <c r="Q11" i="37"/>
  <c r="Q14" i="37" s="1"/>
  <c r="Q15" i="37" s="1"/>
  <c r="P14" i="37"/>
  <c r="P15" i="37" s="1"/>
  <c r="D41" i="37" s="1"/>
  <c r="M17" i="37"/>
  <c r="G17" i="35"/>
  <c r="J11" i="35"/>
  <c r="K11" i="35" s="1"/>
  <c r="L11" i="35" s="1"/>
  <c r="J10" i="34" l="1"/>
  <c r="I10" i="37"/>
  <c r="I10" i="35"/>
  <c r="D40" i="37"/>
  <c r="Q19" i="37"/>
  <c r="P19" i="37"/>
  <c r="D44" i="37"/>
  <c r="Q57" i="37"/>
  <c r="D57" i="37" s="1"/>
  <c r="D42" i="37"/>
  <c r="N17" i="37"/>
  <c r="D43" i="37"/>
  <c r="D49" i="37" l="1"/>
  <c r="D51" i="37" s="1"/>
  <c r="D53" i="37" s="1"/>
  <c r="K10" i="34"/>
  <c r="J10" i="35"/>
  <c r="J10" i="37"/>
  <c r="P17" i="37"/>
  <c r="O17" i="37"/>
  <c r="D52" i="37" l="1"/>
  <c r="E62" i="37"/>
  <c r="E66" i="37"/>
  <c r="E68" i="37" s="1"/>
  <c r="L10" i="34"/>
  <c r="K10" i="37"/>
  <c r="K10" i="35"/>
  <c r="E70" i="37" l="1"/>
  <c r="E72" i="37" s="1"/>
  <c r="M10" i="34"/>
  <c r="L10" i="37"/>
  <c r="L10" i="35"/>
  <c r="G12" i="34"/>
  <c r="E12" i="34"/>
  <c r="F12" i="34"/>
  <c r="D12" i="34"/>
  <c r="E74" i="37" l="1"/>
  <c r="N10" i="34"/>
  <c r="M10" i="35"/>
  <c r="M10" i="37"/>
  <c r="C16" i="34"/>
  <c r="H16" i="34"/>
  <c r="G16" i="34"/>
  <c r="F16" i="34"/>
  <c r="E16" i="34"/>
  <c r="D16" i="34"/>
  <c r="O10" i="34" l="1"/>
  <c r="N10" i="35"/>
  <c r="N10" i="37"/>
  <c r="G17" i="34"/>
  <c r="H17" i="34"/>
  <c r="P10" i="34" l="1"/>
  <c r="O10" i="37"/>
  <c r="O10" i="35"/>
  <c r="D46" i="34"/>
  <c r="C55" i="34" s="1"/>
  <c r="I25" i="34"/>
  <c r="P10" i="35" l="1"/>
  <c r="P10" i="37"/>
  <c r="A59" i="34"/>
  <c r="A59" i="35" s="1"/>
  <c r="Q10" i="34"/>
  <c r="A74" i="34"/>
  <c r="A74" i="35" s="1"/>
  <c r="A72" i="34"/>
  <c r="A72" i="35" s="1"/>
  <c r="A70" i="34"/>
  <c r="A70" i="35" s="1"/>
  <c r="H19" i="34"/>
  <c r="G19" i="34"/>
  <c r="H57" i="34"/>
  <c r="I57" i="34"/>
  <c r="Q10" i="35" l="1"/>
  <c r="Q10" i="37"/>
  <c r="A59" i="37"/>
  <c r="A74" i="37"/>
  <c r="A72" i="37"/>
  <c r="A70" i="37"/>
  <c r="H14" i="35"/>
  <c r="G14" i="35"/>
  <c r="I14" i="35" l="1"/>
  <c r="I57" i="35" l="1"/>
  <c r="H19" i="35"/>
  <c r="H17" i="35"/>
  <c r="H16" i="35"/>
  <c r="H57" i="35"/>
  <c r="G19" i="35"/>
  <c r="G16" i="35"/>
  <c r="J14" i="35"/>
  <c r="J15" i="35" s="1"/>
  <c r="J57" i="35" l="1"/>
  <c r="I19" i="35"/>
  <c r="I17" i="35"/>
  <c r="I16" i="35"/>
  <c r="J16" i="35"/>
  <c r="K14" i="35"/>
  <c r="K15" i="35" s="1"/>
  <c r="K57" i="35" l="1"/>
  <c r="J19" i="35"/>
  <c r="J17" i="35"/>
  <c r="K17" i="35"/>
  <c r="K19" i="35"/>
  <c r="L57" i="35"/>
  <c r="M11" i="35"/>
  <c r="L14" i="35"/>
  <c r="L15" i="35" s="1"/>
  <c r="M57" i="35" l="1"/>
  <c r="L17" i="35"/>
  <c r="L19" i="35"/>
  <c r="M14" i="35"/>
  <c r="M15" i="35" s="1"/>
  <c r="N11" i="35"/>
  <c r="N14" i="35" l="1"/>
  <c r="N15" i="35" s="1"/>
  <c r="O11" i="35"/>
  <c r="M19" i="35"/>
  <c r="N57" i="35"/>
  <c r="M17" i="35"/>
  <c r="P11" i="35" l="1"/>
  <c r="O14" i="35"/>
  <c r="O15" i="35" s="1"/>
  <c r="N17" i="35"/>
  <c r="N19" i="35"/>
  <c r="O57" i="35"/>
  <c r="O17" i="35" l="1"/>
  <c r="O19" i="35"/>
  <c r="P57" i="35"/>
  <c r="Q11" i="35"/>
  <c r="Q14" i="35" s="1"/>
  <c r="Q15" i="35" s="1"/>
  <c r="P14" i="35"/>
  <c r="P15" i="35" s="1"/>
  <c r="D42" i="35" l="1"/>
  <c r="D40" i="35"/>
  <c r="D41" i="35"/>
  <c r="P19" i="35"/>
  <c r="P17" i="35"/>
  <c r="Q19" i="35"/>
  <c r="Q57" i="35"/>
  <c r="D57" i="35" s="1"/>
  <c r="D43" i="35"/>
  <c r="D44" i="35"/>
  <c r="D49" i="35" l="1"/>
  <c r="D51" i="35" s="1"/>
  <c r="D53" i="35" s="1"/>
  <c r="E62" i="35"/>
  <c r="E66" i="35"/>
  <c r="E68" i="35" s="1"/>
  <c r="E70" i="35" l="1"/>
  <c r="E74" i="35" s="1"/>
  <c r="D52" i="35" l="1"/>
  <c r="E72" i="35"/>
  <c r="I19" i="34" l="1"/>
  <c r="I17" i="34"/>
  <c r="J57" i="34"/>
  <c r="I16" i="34"/>
  <c r="K11" i="34" l="1"/>
  <c r="J19" i="34" l="1"/>
  <c r="K57" i="34"/>
  <c r="J16" i="34"/>
  <c r="L11" i="34"/>
  <c r="K14" i="34"/>
  <c r="K15" i="34" s="1"/>
  <c r="K17" i="34" l="1"/>
  <c r="L57" i="34"/>
  <c r="K19" i="34"/>
  <c r="M11" i="34"/>
  <c r="L14" i="34"/>
  <c r="L15" i="34" s="1"/>
  <c r="L19" i="34" l="1"/>
  <c r="L17" i="34"/>
  <c r="M57" i="34"/>
  <c r="M14" i="34"/>
  <c r="M15" i="34" s="1"/>
  <c r="N11" i="34"/>
  <c r="N14" i="34" l="1"/>
  <c r="N15" i="34" s="1"/>
  <c r="O11" i="34"/>
  <c r="M19" i="34"/>
  <c r="N57" i="34"/>
  <c r="M17" i="34"/>
  <c r="O14" i="34" l="1"/>
  <c r="O15" i="34" s="1"/>
  <c r="P11" i="34"/>
  <c r="O57" i="34"/>
  <c r="N17" i="34"/>
  <c r="N19" i="34"/>
  <c r="Q11" i="34" l="1"/>
  <c r="Q14" i="34" s="1"/>
  <c r="Q15" i="34" s="1"/>
  <c r="P14" i="34"/>
  <c r="P15" i="34" s="1"/>
  <c r="P57" i="34"/>
  <c r="O17" i="34"/>
  <c r="O19" i="34"/>
  <c r="D44" i="34" l="1"/>
  <c r="D41" i="34"/>
  <c r="D43" i="34"/>
  <c r="D42" i="34"/>
  <c r="P17" i="34"/>
  <c r="P19" i="34"/>
  <c r="D40" i="34"/>
  <c r="Q19" i="34"/>
  <c r="Q57" i="34"/>
  <c r="D57" i="34" s="1"/>
  <c r="D49" i="34" l="1"/>
  <c r="D51" i="34" s="1"/>
  <c r="D52" i="34" s="1"/>
  <c r="E62" i="34"/>
  <c r="E66" i="34"/>
  <c r="E68" i="34" s="1"/>
  <c r="D53" i="34" l="1"/>
  <c r="E70" i="34"/>
  <c r="E72" i="34" s="1"/>
  <c r="E74" i="34" l="1"/>
</calcChain>
</file>

<file path=xl/sharedStrings.xml><?xml version="1.0" encoding="utf-8"?>
<sst xmlns="http://schemas.openxmlformats.org/spreadsheetml/2006/main" count="118" uniqueCount="42">
  <si>
    <t>Bewertung</t>
  </si>
  <si>
    <t>Umsatz-Wachstum, %</t>
  </si>
  <si>
    <t>Unterbewertung</t>
  </si>
  <si>
    <t>Fairer Wert</t>
  </si>
  <si>
    <t>Umsatz</t>
  </si>
  <si>
    <t>Verhältnis EBIT zu Konzerngewinn:</t>
  </si>
  <si>
    <t>EK Quote:</t>
  </si>
  <si>
    <t>Vereinfachter WACC:</t>
  </si>
  <si>
    <t>Schätzungen »</t>
  </si>
  <si>
    <t>Discounted Net-Profit Modell</t>
  </si>
  <si>
    <t>Abgezinster Gewinn:</t>
  </si>
  <si>
    <t xml:space="preserve">Kurs pro Aktie </t>
  </si>
  <si>
    <t>Überbewertung</t>
  </si>
  <si>
    <t>EBIT Marge, %</t>
  </si>
  <si>
    <t>EBIT</t>
  </si>
  <si>
    <t xml:space="preserve">Ausschüttungsquote </t>
  </si>
  <si>
    <t xml:space="preserve">Ausgeschüttete Gewinne </t>
  </si>
  <si>
    <t>Eigenkapitalzins</t>
  </si>
  <si>
    <t>EK-Zins</t>
  </si>
  <si>
    <t xml:space="preserve">Umsatzmultiple </t>
  </si>
  <si>
    <t>Nullzinsmarkterwartung:</t>
  </si>
  <si>
    <t>Abgezinster Gewinn in Mrd. USD:</t>
  </si>
  <si>
    <t>Eigenkapitalverzinsung</t>
  </si>
  <si>
    <t>Risikoloser Basiszins:</t>
  </si>
  <si>
    <t>rF</t>
  </si>
  <si>
    <t>Risikoprämie:</t>
  </si>
  <si>
    <t>Marktrendite:</t>
  </si>
  <si>
    <t>rM</t>
  </si>
  <si>
    <t>ß</t>
  </si>
  <si>
    <t xml:space="preserve">Eigenkapitalkosten: </t>
  </si>
  <si>
    <t>rE</t>
  </si>
  <si>
    <t>Keine Rundung</t>
  </si>
  <si>
    <t>Beta Faktor:</t>
  </si>
  <si>
    <t>Gewinn je Aktie</t>
  </si>
  <si>
    <t>Gewinn je Aktie multipliziert mit fiktivem KGV</t>
  </si>
  <si>
    <t>Anzahl der Aktien in Mio. diluted (geschätzt)</t>
  </si>
  <si>
    <t>Gewinn (abzgl. Steuern, Zinsen)</t>
  </si>
  <si>
    <t>Marktkapitalisierung, Mrd.</t>
  </si>
  <si>
    <t>Anzahl Aktien gesamt, Mrd.</t>
  </si>
  <si>
    <t>Alle Angaben in Mrd.</t>
  </si>
  <si>
    <t>Annahmen für TIS INTEC</t>
  </si>
  <si>
    <t>Quellensteuer Japan (15 %)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</si>
</sst>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5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2"/>
      <color theme="7" tint="0.5999938962981048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medium">
        <color theme="1"/>
      </right>
      <top/>
      <bottom style="medium">
        <color indexed="64"/>
      </bottom>
      <diagonal/>
    </border>
    <border>
      <left/>
      <right style="medium">
        <color theme="1"/>
      </right>
      <top/>
      <bottom/>
      <diagonal/>
    </border>
  </borders>
  <cellStyleXfs count="11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8" fillId="2" borderId="0" xfId="0" applyFont="1" applyFill="1"/>
    <xf numFmtId="0" fontId="0" fillId="3" borderId="0" xfId="0" applyFill="1"/>
    <xf numFmtId="0" fontId="6" fillId="3" borderId="0" xfId="0" applyFont="1" applyFill="1" applyAlignment="1">
      <alignment vertical="center" wrapText="1"/>
    </xf>
    <xf numFmtId="0" fontId="10" fillId="2" borderId="0" xfId="0" applyFont="1" applyFill="1"/>
    <xf numFmtId="9" fontId="10" fillId="2" borderId="0" xfId="1" applyFont="1" applyFill="1"/>
    <xf numFmtId="0" fontId="0" fillId="4" borderId="0" xfId="0" applyFill="1"/>
    <xf numFmtId="0" fontId="6" fillId="4" borderId="0" xfId="0" applyFont="1" applyFill="1"/>
    <xf numFmtId="0" fontId="5" fillId="4" borderId="0" xfId="0" applyFont="1" applyFill="1"/>
    <xf numFmtId="0" fontId="6" fillId="5" borderId="0" xfId="0" applyFont="1" applyFill="1"/>
    <xf numFmtId="165" fontId="4" fillId="7" borderId="0" xfId="1" applyNumberFormat="1" applyFont="1" applyFill="1"/>
    <xf numFmtId="0" fontId="0" fillId="2" borderId="1" xfId="0" applyFill="1" applyBorder="1" applyAlignment="1">
      <alignment wrapText="1"/>
    </xf>
    <xf numFmtId="0" fontId="9" fillId="2" borderId="2" xfId="0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0" fontId="6" fillId="6" borderId="0" xfId="0" applyFont="1" applyFill="1" applyAlignment="1">
      <alignment horizontal="right"/>
    </xf>
    <xf numFmtId="0" fontId="8" fillId="6" borderId="0" xfId="0" applyFont="1" applyFill="1"/>
    <xf numFmtId="0" fontId="11" fillId="6" borderId="0" xfId="0" applyFont="1" applyFill="1"/>
    <xf numFmtId="4" fontId="6" fillId="6" borderId="0" xfId="0" applyNumberFormat="1" applyFont="1" applyFill="1"/>
    <xf numFmtId="0" fontId="6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0" fontId="0" fillId="2" borderId="0" xfId="0" applyNumberFormat="1" applyFill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2" fillId="2" borderId="0" xfId="0" applyFont="1" applyFill="1"/>
    <xf numFmtId="4" fontId="6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/>
    <xf numFmtId="3" fontId="0" fillId="2" borderId="0" xfId="0" applyNumberFormat="1" applyFill="1"/>
    <xf numFmtId="165" fontId="4" fillId="2" borderId="0" xfId="1" applyNumberFormat="1" applyFont="1" applyFill="1" applyBorder="1"/>
    <xf numFmtId="3" fontId="6" fillId="2" borderId="0" xfId="0" applyNumberFormat="1" applyFont="1" applyFill="1"/>
    <xf numFmtId="165" fontId="6" fillId="2" borderId="0" xfId="1" applyNumberFormat="1" applyFont="1" applyFill="1" applyBorder="1"/>
    <xf numFmtId="9" fontId="0" fillId="2" borderId="0" xfId="1" applyFont="1" applyFill="1" applyBorder="1"/>
    <xf numFmtId="9" fontId="0" fillId="2" borderId="0" xfId="0" applyNumberFormat="1" applyFill="1"/>
    <xf numFmtId="9" fontId="6" fillId="2" borderId="0" xfId="0" applyNumberFormat="1" applyFont="1" applyFill="1"/>
    <xf numFmtId="10" fontId="6" fillId="2" borderId="10" xfId="0" applyNumberFormat="1" applyFont="1" applyFill="1" applyBorder="1"/>
    <xf numFmtId="0" fontId="6" fillId="8" borderId="0" xfId="0" applyFont="1" applyFill="1" applyAlignment="1">
      <alignment vertical="center" wrapText="1"/>
    </xf>
    <xf numFmtId="0" fontId="0" fillId="8" borderId="0" xfId="0" applyFill="1"/>
    <xf numFmtId="4" fontId="10" fillId="8" borderId="0" xfId="0" applyNumberFormat="1" applyFont="1" applyFill="1"/>
    <xf numFmtId="0" fontId="6" fillId="8" borderId="0" xfId="0" applyFont="1" applyFill="1"/>
    <xf numFmtId="1" fontId="4" fillId="8" borderId="0" xfId="1" applyNumberFormat="1" applyFont="1" applyFill="1"/>
    <xf numFmtId="10" fontId="6" fillId="8" borderId="0" xfId="1" applyNumberFormat="1" applyFont="1" applyFill="1"/>
    <xf numFmtId="0" fontId="0" fillId="2" borderId="1" xfId="0" applyFill="1" applyBorder="1"/>
    <xf numFmtId="0" fontId="10" fillId="2" borderId="2" xfId="0" applyFont="1" applyFill="1" applyBorder="1"/>
    <xf numFmtId="2" fontId="8" fillId="2" borderId="2" xfId="0" applyNumberFormat="1" applyFont="1" applyFill="1" applyBorder="1"/>
    <xf numFmtId="2" fontId="8" fillId="2" borderId="3" xfId="0" applyNumberFormat="1" applyFont="1" applyFill="1" applyBorder="1"/>
    <xf numFmtId="0" fontId="11" fillId="7" borderId="0" xfId="0" applyFont="1" applyFill="1" applyAlignment="1">
      <alignment horizontal="right" vertical="center"/>
    </xf>
    <xf numFmtId="4" fontId="0" fillId="8" borderId="0" xfId="0" applyNumberFormat="1" applyFill="1"/>
    <xf numFmtId="0" fontId="0" fillId="2" borderId="4" xfId="0" applyFill="1" applyBorder="1"/>
    <xf numFmtId="4" fontId="0" fillId="2" borderId="8" xfId="0" applyNumberFormat="1" applyFill="1" applyBorder="1"/>
    <xf numFmtId="3" fontId="7" fillId="2" borderId="8" xfId="0" quotePrefix="1" applyNumberFormat="1" applyFont="1" applyFill="1" applyBorder="1"/>
    <xf numFmtId="9" fontId="0" fillId="2" borderId="8" xfId="1" applyFont="1" applyFill="1" applyBorder="1"/>
    <xf numFmtId="0" fontId="0" fillId="10" borderId="9" xfId="0" applyFill="1" applyBorder="1"/>
    <xf numFmtId="0" fontId="0" fillId="10" borderId="10" xfId="0" applyFill="1" applyBorder="1"/>
    <xf numFmtId="10" fontId="6" fillId="2" borderId="0" xfId="1" applyNumberFormat="1" applyFont="1" applyFill="1"/>
    <xf numFmtId="1" fontId="4" fillId="2" borderId="0" xfId="1" applyNumberFormat="1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2" borderId="0" xfId="1" applyFont="1" applyFill="1"/>
    <xf numFmtId="165" fontId="0" fillId="7" borderId="0" xfId="1" applyNumberFormat="1" applyFont="1" applyFill="1"/>
    <xf numFmtId="4" fontId="0" fillId="7" borderId="0" xfId="0" applyNumberFormat="1" applyFill="1"/>
    <xf numFmtId="10" fontId="0" fillId="8" borderId="0" xfId="0" applyNumberFormat="1" applyFill="1"/>
    <xf numFmtId="4" fontId="4" fillId="8" borderId="0" xfId="1" applyNumberFormat="1" applyFont="1" applyFill="1"/>
    <xf numFmtId="0" fontId="0" fillId="2" borderId="0" xfId="0" quotePrefix="1" applyFill="1"/>
    <xf numFmtId="0" fontId="6" fillId="2" borderId="7" xfId="0" applyFont="1" applyFill="1" applyBorder="1"/>
    <xf numFmtId="10" fontId="6" fillId="2" borderId="0" xfId="0" applyNumberFormat="1" applyFont="1" applyFill="1"/>
    <xf numFmtId="10" fontId="0" fillId="2" borderId="5" xfId="0" applyNumberFormat="1" applyFill="1" applyBorder="1" applyAlignment="1">
      <alignment horizontal="right"/>
    </xf>
    <xf numFmtId="0" fontId="0" fillId="2" borderId="0" xfId="0" applyFill="1" applyAlignment="1">
      <alignment horizontal="right"/>
    </xf>
    <xf numFmtId="10" fontId="0" fillId="2" borderId="0" xfId="1" applyNumberFormat="1" applyFont="1" applyFill="1" applyBorder="1" applyAlignment="1">
      <alignment horizontal="right"/>
    </xf>
    <xf numFmtId="10" fontId="0" fillId="2" borderId="0" xfId="0" applyNumberFormat="1" applyFill="1" applyAlignment="1">
      <alignment horizontal="right"/>
    </xf>
    <xf numFmtId="4" fontId="10" fillId="5" borderId="0" xfId="0" applyNumberFormat="1" applyFont="1" applyFill="1"/>
    <xf numFmtId="164" fontId="11" fillId="6" borderId="0" xfId="0" applyNumberFormat="1" applyFont="1" applyFill="1"/>
    <xf numFmtId="10" fontId="0" fillId="7" borderId="0" xfId="1" applyNumberFormat="1" applyFont="1" applyFill="1"/>
    <xf numFmtId="165" fontId="10" fillId="7" borderId="0" xfId="1" applyNumberFormat="1" applyFont="1" applyFill="1"/>
    <xf numFmtId="9" fontId="10" fillId="5" borderId="0" xfId="1" applyFont="1" applyFill="1"/>
    <xf numFmtId="2" fontId="0" fillId="8" borderId="0" xfId="0" applyNumberFormat="1" applyFill="1"/>
    <xf numFmtId="10" fontId="10" fillId="5" borderId="0" xfId="1" applyNumberFormat="1" applyFont="1" applyFill="1"/>
    <xf numFmtId="165" fontId="10" fillId="5" borderId="0" xfId="1" applyNumberFormat="1" applyFont="1" applyFill="1"/>
    <xf numFmtId="0" fontId="10" fillId="2" borderId="4" xfId="0" applyFont="1" applyFill="1" applyBorder="1"/>
    <xf numFmtId="0" fontId="10" fillId="2" borderId="5" xfId="0" applyFont="1" applyFill="1" applyBorder="1"/>
    <xf numFmtId="10" fontId="10" fillId="2" borderId="5" xfId="0" applyNumberFormat="1" applyFont="1" applyFill="1" applyBorder="1" applyAlignment="1">
      <alignment horizontal="right"/>
    </xf>
    <xf numFmtId="0" fontId="10" fillId="2" borderId="7" xfId="0" applyFont="1" applyFill="1" applyBorder="1"/>
    <xf numFmtId="0" fontId="10" fillId="2" borderId="0" xfId="0" applyFont="1" applyFill="1" applyAlignment="1">
      <alignment horizontal="right"/>
    </xf>
    <xf numFmtId="10" fontId="10" fillId="2" borderId="0" xfId="1" applyNumberFormat="1" applyFont="1" applyFill="1" applyBorder="1" applyAlignment="1">
      <alignment horizontal="right"/>
    </xf>
    <xf numFmtId="10" fontId="10" fillId="2" borderId="0" xfId="0" applyNumberFormat="1" applyFont="1" applyFill="1" applyAlignment="1">
      <alignment horizontal="right"/>
    </xf>
    <xf numFmtId="0" fontId="11" fillId="2" borderId="7" xfId="0" applyFont="1" applyFill="1" applyBorder="1"/>
    <xf numFmtId="0" fontId="11" fillId="2" borderId="0" xfId="0" applyFont="1" applyFill="1"/>
    <xf numFmtId="10" fontId="11" fillId="2" borderId="0" xfId="0" applyNumberFormat="1" applyFont="1" applyFill="1"/>
    <xf numFmtId="9" fontId="10" fillId="6" borderId="0" xfId="1" applyFont="1" applyFill="1"/>
    <xf numFmtId="10" fontId="0" fillId="2" borderId="0" xfId="1" applyNumberFormat="1" applyFont="1" applyFill="1"/>
    <xf numFmtId="10" fontId="0" fillId="2" borderId="7" xfId="0" applyNumberFormat="1" applyFill="1" applyBorder="1"/>
    <xf numFmtId="4" fontId="13" fillId="2" borderId="8" xfId="0" quotePrefix="1" applyNumberFormat="1" applyFont="1" applyFill="1" applyBorder="1"/>
    <xf numFmtId="10" fontId="0" fillId="10" borderId="12" xfId="1" applyNumberFormat="1" applyFont="1" applyFill="1" applyBorder="1"/>
    <xf numFmtId="10" fontId="0" fillId="10" borderId="13" xfId="1" applyNumberFormat="1" applyFont="1" applyFill="1" applyBorder="1"/>
    <xf numFmtId="0" fontId="0" fillId="2" borderId="14" xfId="0" applyFill="1" applyBorder="1"/>
    <xf numFmtId="4" fontId="14" fillId="5" borderId="0" xfId="0" applyNumberFormat="1" applyFont="1" applyFill="1"/>
    <xf numFmtId="10" fontId="0" fillId="9" borderId="0" xfId="1" applyNumberFormat="1" applyFont="1" applyFill="1"/>
  </cellXfs>
  <cellStyles count="11">
    <cellStyle name="Prozent" xfId="1" builtinId="5"/>
    <cellStyle name="Prozent 2" xfId="2" xr:uid="{00000000-0005-0000-0000-000001000000}"/>
    <cellStyle name="Prozent 3" xfId="4" xr:uid="{00000000-0005-0000-0000-000002000000}"/>
    <cellStyle name="Prozent 3 2" xfId="8" xr:uid="{ACDD9188-69D6-4028-9709-96C6465716DF}"/>
    <cellStyle name="Prozent 4" xfId="6" xr:uid="{DE5E001C-AEE3-45AD-B913-D01465EAAE5D}"/>
    <cellStyle name="Prozent 4 2" xfId="10" xr:uid="{51C2CB77-11E2-4A8F-AF10-1CB4B8601286}"/>
    <cellStyle name="Standard" xfId="0" builtinId="0"/>
    <cellStyle name="Standard 2" xfId="3" xr:uid="{00000000-0005-0000-0000-000004000000}"/>
    <cellStyle name="Standard 2 2" xfId="7" xr:uid="{715999C6-8BDD-464F-A53F-2D0C0610C1C9}"/>
    <cellStyle name="Standard 3" xfId="5" xr:uid="{D21CDE20-7D2B-4947-8C50-96BDB9D63654}"/>
    <cellStyle name="Standard 3 2" xfId="9" xr:uid="{5011BA1F-B6E3-4681-B716-D0C9CC684563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7A5F"/>
      <color rgb="FFCC99FF"/>
      <color rgb="FFFFCC99"/>
      <color rgb="FFFFCC66"/>
      <color rgb="FFFFEB7D"/>
      <color rgb="FF009900"/>
      <color rgb="FFCCCCFF"/>
      <color rgb="FF9966FF"/>
      <color rgb="FF99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135466</xdr:colOff>
      <xdr:row>22</xdr:row>
      <xdr:rowOff>84666</xdr:rowOff>
    </xdr:from>
    <xdr:to>
      <xdr:col>12</xdr:col>
      <xdr:colOff>1231532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480E8E9-90E0-4C71-8FA2-90316083A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1866" y="4770966"/>
          <a:ext cx="3559866" cy="14111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135466</xdr:colOff>
      <xdr:row>22</xdr:row>
      <xdr:rowOff>59266</xdr:rowOff>
    </xdr:from>
    <xdr:to>
      <xdr:col>12</xdr:col>
      <xdr:colOff>1231532</xdr:colOff>
      <xdr:row>29</xdr:row>
      <xdr:rowOff>48041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84A0DA5-2A72-8643-BB10-9949072F4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1866" y="4745566"/>
          <a:ext cx="3559866" cy="1411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148166</xdr:colOff>
      <xdr:row>22</xdr:row>
      <xdr:rowOff>84666</xdr:rowOff>
    </xdr:from>
    <xdr:to>
      <xdr:col>13</xdr:col>
      <xdr:colOff>26620</xdr:colOff>
      <xdr:row>29</xdr:row>
      <xdr:rowOff>73441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ED6B0C2-47F7-4639-9157-E9F95B4B4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88066" y="4656666"/>
          <a:ext cx="3596379" cy="1388950"/>
        </a:xfrm>
        <a:prstGeom prst="rect">
          <a:avLst/>
        </a:prstGeom>
      </xdr:spPr>
    </xdr:pic>
    <xdr:clientData/>
  </xdr:twoCellAnchor>
  <xdr:twoCellAnchor editAs="oneCell">
    <xdr:from>
      <xdr:col>10</xdr:col>
      <xdr:colOff>139700</xdr:colOff>
      <xdr:row>22</xdr:row>
      <xdr:rowOff>88900</xdr:rowOff>
    </xdr:from>
    <xdr:to>
      <xdr:col>13</xdr:col>
      <xdr:colOff>3866</xdr:colOff>
      <xdr:row>29</xdr:row>
      <xdr:rowOff>77675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189C3DC4-4684-864C-856D-E38EB5973A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16100" y="4775200"/>
          <a:ext cx="3559866" cy="141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 2013–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0EB64-3C98-49AD-AFA7-32CB9200B01E}">
  <dimension ref="A1:AB75"/>
  <sheetViews>
    <sheetView tabSelected="1" zoomScaleNormal="100" workbookViewId="0"/>
  </sheetViews>
  <sheetFormatPr baseColWidth="10" defaultColWidth="0" defaultRowHeight="16" zeroHeight="1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28" width="0" style="1" hidden="1" customWidth="1"/>
    <col min="29" max="16384" width="10.5" style="1" hidden="1"/>
  </cols>
  <sheetData>
    <row r="1" spans="1:28" x14ac:dyDescent="0.2"/>
    <row r="2" spans="1:28" ht="26" x14ac:dyDescent="0.3">
      <c r="B2" s="31" t="s">
        <v>9</v>
      </c>
    </row>
    <row r="3" spans="1:28" x14ac:dyDescent="0.2"/>
    <row r="4" spans="1:28" x14ac:dyDescent="0.2">
      <c r="B4" s="22" t="s">
        <v>40</v>
      </c>
    </row>
    <row r="5" spans="1:28" x14ac:dyDescent="0.2"/>
    <row r="6" spans="1:28" x14ac:dyDescent="0.2">
      <c r="B6" s="1" t="s">
        <v>39</v>
      </c>
    </row>
    <row r="7" spans="1:28" x14ac:dyDescent="0.2"/>
    <row r="8" spans="1:28" x14ac:dyDescent="0.2"/>
    <row r="9" spans="1:28" s="8" customFormat="1" x14ac:dyDescent="0.2">
      <c r="G9" s="9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v>2020</v>
      </c>
      <c r="D10" s="11">
        <f>C10+1</f>
        <v>2021</v>
      </c>
      <c r="E10" s="11">
        <f>D10+1</f>
        <v>2022</v>
      </c>
      <c r="F10" s="11">
        <f>E10+1</f>
        <v>2023</v>
      </c>
      <c r="G10" s="55">
        <f>F10+1</f>
        <v>2024</v>
      </c>
      <c r="H10" s="55">
        <f t="shared" ref="H10:P10" si="0">G10+1</f>
        <v>2025</v>
      </c>
      <c r="I10" s="55">
        <f t="shared" si="0"/>
        <v>2026</v>
      </c>
      <c r="J10" s="55">
        <f t="shared" si="0"/>
        <v>2027</v>
      </c>
      <c r="K10" s="55">
        <f t="shared" si="0"/>
        <v>2028</v>
      </c>
      <c r="L10" s="55">
        <f t="shared" si="0"/>
        <v>2029</v>
      </c>
      <c r="M10" s="55">
        <f t="shared" si="0"/>
        <v>2030</v>
      </c>
      <c r="N10" s="55">
        <f t="shared" si="0"/>
        <v>2031</v>
      </c>
      <c r="O10" s="55">
        <f t="shared" si="0"/>
        <v>2032</v>
      </c>
      <c r="P10" s="55">
        <f t="shared" si="0"/>
        <v>2033</v>
      </c>
      <c r="Q10" s="55" t="str">
        <f>P10+1&amp;"ff."</f>
        <v>2034ff.</v>
      </c>
    </row>
    <row r="11" spans="1:28" x14ac:dyDescent="0.2">
      <c r="A11" s="5"/>
      <c r="B11" s="4" t="s">
        <v>4</v>
      </c>
      <c r="C11" s="80">
        <v>443.77199999999999</v>
      </c>
      <c r="D11" s="80">
        <v>448.38299999999998</v>
      </c>
      <c r="E11" s="80">
        <v>482.54700000000003</v>
      </c>
      <c r="F11" s="80">
        <v>508.4</v>
      </c>
      <c r="G11" s="70">
        <v>534.26229000000001</v>
      </c>
      <c r="H11" s="70">
        <v>553.27683000000002</v>
      </c>
      <c r="I11" s="70">
        <v>576.78581999999994</v>
      </c>
      <c r="J11" s="70">
        <f>I11*(1+J12)</f>
        <v>597.55010951999998</v>
      </c>
      <c r="K11" s="70">
        <f>J11*(1+K12)</f>
        <v>618.46436335319993</v>
      </c>
      <c r="L11" s="70">
        <f t="shared" ref="L11:Q11" si="1">K11*(1+L12)</f>
        <v>637.01829425379594</v>
      </c>
      <c r="M11" s="70">
        <f t="shared" si="1"/>
        <v>652.94375161014079</v>
      </c>
      <c r="N11" s="70">
        <f t="shared" si="1"/>
        <v>669.26734540039422</v>
      </c>
      <c r="O11" s="70">
        <f t="shared" si="1"/>
        <v>685.99902903540396</v>
      </c>
      <c r="P11" s="70">
        <f t="shared" si="1"/>
        <v>699.71900961611209</v>
      </c>
      <c r="Q11" s="70">
        <f t="shared" si="1"/>
        <v>710.2147947603537</v>
      </c>
    </row>
    <row r="12" spans="1:28" x14ac:dyDescent="0.2">
      <c r="A12" s="5"/>
      <c r="B12" s="4" t="s">
        <v>1</v>
      </c>
      <c r="C12" s="84"/>
      <c r="D12" s="87">
        <f t="shared" ref="D12:I12" si="2">D11/C11-1</f>
        <v>1.0390470782293493E-2</v>
      </c>
      <c r="E12" s="87">
        <f t="shared" si="2"/>
        <v>7.6193789684265489E-2</v>
      </c>
      <c r="F12" s="87">
        <f t="shared" si="2"/>
        <v>5.3576128335685258E-2</v>
      </c>
      <c r="G12" s="83">
        <f t="shared" si="2"/>
        <v>5.0869964594807193E-2</v>
      </c>
      <c r="H12" s="83">
        <f t="shared" si="2"/>
        <v>3.5590271587388367E-2</v>
      </c>
      <c r="I12" s="83">
        <f t="shared" si="2"/>
        <v>4.2490465396860966E-2</v>
      </c>
      <c r="J12" s="83">
        <v>3.5999999999999997E-2</v>
      </c>
      <c r="K12" s="69">
        <v>3.5000000000000003E-2</v>
      </c>
      <c r="L12" s="69">
        <v>0.03</v>
      </c>
      <c r="M12" s="69">
        <v>2.5000000000000001E-2</v>
      </c>
      <c r="N12" s="69">
        <v>2.5000000000000001E-2</v>
      </c>
      <c r="O12" s="69">
        <v>2.5000000000000001E-2</v>
      </c>
      <c r="P12" s="69">
        <v>0.02</v>
      </c>
      <c r="Q12" s="12">
        <v>1.4999999999999999E-2</v>
      </c>
    </row>
    <row r="13" spans="1:28" ht="16" customHeight="1" x14ac:dyDescent="0.2">
      <c r="A13" s="5"/>
      <c r="B13" s="4" t="s">
        <v>13</v>
      </c>
      <c r="C13" s="86">
        <f>C14/C11</f>
        <v>0.10104062446481527</v>
      </c>
      <c r="D13" s="86">
        <f t="shared" ref="D13:F13" si="3">D14/D11</f>
        <v>0.10202884587506662</v>
      </c>
      <c r="E13" s="86">
        <f t="shared" si="3"/>
        <v>0.11343765477766932</v>
      </c>
      <c r="F13" s="86">
        <f t="shared" si="3"/>
        <v>0.12259638080251771</v>
      </c>
      <c r="G13" s="82">
        <f>G14/G11</f>
        <v>0.12140104441958649</v>
      </c>
      <c r="H13" s="82">
        <f t="shared" ref="H13:I13" si="4">H14/H11</f>
        <v>0.12149433403889333</v>
      </c>
      <c r="I13" s="82">
        <f t="shared" si="4"/>
        <v>0.12529780985253763</v>
      </c>
      <c r="J13" s="82">
        <v>0.125</v>
      </c>
      <c r="K13" s="82">
        <v>0.1225</v>
      </c>
      <c r="L13" s="82">
        <v>0.12</v>
      </c>
      <c r="M13" s="82">
        <v>0.12</v>
      </c>
      <c r="N13" s="82">
        <v>0.12</v>
      </c>
      <c r="O13" s="82">
        <v>0.11749999999999999</v>
      </c>
      <c r="P13" s="82">
        <v>0.11749999999999999</v>
      </c>
      <c r="Q13" s="82">
        <v>0.115</v>
      </c>
    </row>
    <row r="14" spans="1:28" ht="17.25" customHeight="1" x14ac:dyDescent="0.2">
      <c r="A14" s="5"/>
      <c r="B14" s="4" t="s">
        <v>14</v>
      </c>
      <c r="C14" s="80">
        <v>44.838999999999999</v>
      </c>
      <c r="D14" s="80">
        <v>45.747999999999998</v>
      </c>
      <c r="E14" s="80">
        <v>54.738999999999997</v>
      </c>
      <c r="F14" s="80">
        <v>62.328000000000003</v>
      </c>
      <c r="G14" s="70">
        <v>64.86</v>
      </c>
      <c r="H14" s="70">
        <v>67.22</v>
      </c>
      <c r="I14" s="70">
        <v>72.27</v>
      </c>
      <c r="J14" s="70">
        <f>J11*J13</f>
        <v>74.693763689999997</v>
      </c>
      <c r="K14" s="70">
        <f t="shared" ref="K14:Q14" si="5">K11*K13</f>
        <v>75.76188451076699</v>
      </c>
      <c r="L14" s="70">
        <f t="shared" si="5"/>
        <v>76.442195310455517</v>
      </c>
      <c r="M14" s="70">
        <f t="shared" si="5"/>
        <v>78.353250193216894</v>
      </c>
      <c r="N14" s="70">
        <f t="shared" si="5"/>
        <v>80.312081448047309</v>
      </c>
      <c r="O14" s="70">
        <f t="shared" si="5"/>
        <v>80.604885911659963</v>
      </c>
      <c r="P14" s="70">
        <f>P11*P13</f>
        <v>82.216983629893164</v>
      </c>
      <c r="Q14" s="70">
        <f t="shared" si="5"/>
        <v>81.674701397440685</v>
      </c>
    </row>
    <row r="15" spans="1:28" x14ac:dyDescent="0.2">
      <c r="A15" s="98">
        <v>0.35</v>
      </c>
      <c r="B15" s="4" t="s">
        <v>36</v>
      </c>
      <c r="C15" s="80">
        <v>29.411000000000001</v>
      </c>
      <c r="D15" s="80">
        <v>27.692</v>
      </c>
      <c r="E15" s="80">
        <v>39.462000000000003</v>
      </c>
      <c r="F15" s="80">
        <v>55.460999999999999</v>
      </c>
      <c r="G15" s="70">
        <v>43.44</v>
      </c>
      <c r="H15" s="70">
        <v>45.2</v>
      </c>
      <c r="I15" s="70">
        <v>48.68</v>
      </c>
      <c r="J15" s="70">
        <f>J14*(1-$A$15)</f>
        <v>48.550946398500002</v>
      </c>
      <c r="K15" s="70">
        <f>K14*(1-$A$15)</f>
        <v>49.245224931998543</v>
      </c>
      <c r="L15" s="70">
        <f t="shared" ref="L15:Q15" si="6">L14*(1-$A$15)</f>
        <v>49.687426951796091</v>
      </c>
      <c r="M15" s="70">
        <f t="shared" si="6"/>
        <v>50.929612625590984</v>
      </c>
      <c r="N15" s="70">
        <f t="shared" si="6"/>
        <v>52.202852941230752</v>
      </c>
      <c r="O15" s="70">
        <f t="shared" si="6"/>
        <v>52.393175842578977</v>
      </c>
      <c r="P15" s="70">
        <f>P14*(1-$A$15)</f>
        <v>53.441039359430562</v>
      </c>
      <c r="Q15" s="70">
        <f t="shared" si="6"/>
        <v>53.088555908336446</v>
      </c>
    </row>
    <row r="16" spans="1:28" ht="35" hidden="1" thickBot="1" x14ac:dyDescent="0.25">
      <c r="A16" s="13" t="s">
        <v>5</v>
      </c>
      <c r="B16" s="14"/>
      <c r="C16" s="15">
        <f t="shared" ref="C16:J16" si="7">C15/C14</f>
        <v>0.65592452998505768</v>
      </c>
      <c r="D16" s="15">
        <f t="shared" si="7"/>
        <v>0.60531607939144882</v>
      </c>
      <c r="E16" s="15">
        <f t="shared" si="7"/>
        <v>0.7209119640475713</v>
      </c>
      <c r="F16" s="15">
        <f t="shared" si="7"/>
        <v>0.88982479784366575</v>
      </c>
      <c r="G16" s="15">
        <f t="shared" si="7"/>
        <v>0.66975023126734501</v>
      </c>
      <c r="H16" s="15">
        <f t="shared" si="7"/>
        <v>0.67241892293960137</v>
      </c>
      <c r="I16" s="15">
        <f t="shared" si="7"/>
        <v>0.67358516673585167</v>
      </c>
      <c r="J16" s="15">
        <f t="shared" si="7"/>
        <v>0.65</v>
      </c>
    </row>
    <row r="17" spans="1:18" ht="17" x14ac:dyDescent="0.2">
      <c r="A17" s="2" t="s">
        <v>33</v>
      </c>
      <c r="C17" s="80"/>
      <c r="D17" s="80"/>
      <c r="E17" s="80"/>
      <c r="F17" s="80"/>
      <c r="G17" s="70">
        <f>G15/G18</f>
        <v>180.30124926975191</v>
      </c>
      <c r="H17" s="70">
        <f t="shared" ref="H17:P17" si="8">H15/H18</f>
        <v>187.60627226042328</v>
      </c>
      <c r="I17" s="70">
        <f t="shared" si="8"/>
        <v>202.05029499197798</v>
      </c>
      <c r="J17" s="70">
        <f>J15/J18</f>
        <v>201.51464753403116</v>
      </c>
      <c r="K17" s="70">
        <f t="shared" si="8"/>
        <v>204.39630699376775</v>
      </c>
      <c r="L17" s="70">
        <f t="shared" si="8"/>
        <v>206.23170240350777</v>
      </c>
      <c r="M17" s="70">
        <f t="shared" si="8"/>
        <v>211.3874949635954</v>
      </c>
      <c r="N17" s="70">
        <f t="shared" si="8"/>
        <v>216.67218233768526</v>
      </c>
      <c r="O17" s="70">
        <f t="shared" si="8"/>
        <v>217.46213300245802</v>
      </c>
      <c r="P17" s="70">
        <f t="shared" si="8"/>
        <v>221.8113756625072</v>
      </c>
      <c r="Q17" s="70"/>
    </row>
    <row r="18" spans="1:18" ht="35" thickBot="1" x14ac:dyDescent="0.25">
      <c r="A18" s="2" t="s">
        <v>35</v>
      </c>
      <c r="C18" s="105">
        <v>1</v>
      </c>
      <c r="D18" s="80"/>
      <c r="E18" s="80"/>
      <c r="F18" s="80"/>
      <c r="G18" s="70">
        <f>C50</f>
        <v>0.240930111</v>
      </c>
      <c r="H18" s="70">
        <f>G18*$C18</f>
        <v>0.240930111</v>
      </c>
      <c r="I18" s="70">
        <f t="shared" ref="I18:O18" si="9">H18*$C18</f>
        <v>0.240930111</v>
      </c>
      <c r="J18" s="70">
        <f t="shared" si="9"/>
        <v>0.240930111</v>
      </c>
      <c r="K18" s="70">
        <f t="shared" si="9"/>
        <v>0.240930111</v>
      </c>
      <c r="L18" s="70">
        <f t="shared" si="9"/>
        <v>0.240930111</v>
      </c>
      <c r="M18" s="70">
        <f t="shared" si="9"/>
        <v>0.240930111</v>
      </c>
      <c r="N18" s="70">
        <f t="shared" si="9"/>
        <v>0.240930111</v>
      </c>
      <c r="O18" s="70">
        <f t="shared" si="9"/>
        <v>0.240930111</v>
      </c>
      <c r="P18" s="70">
        <f>O18*$C18</f>
        <v>0.240930111</v>
      </c>
      <c r="Q18" s="70"/>
    </row>
    <row r="19" spans="1:18" ht="17" thickBot="1" x14ac:dyDescent="0.25">
      <c r="A19" s="2"/>
      <c r="E19" s="51" t="s">
        <v>10</v>
      </c>
      <c r="F19" s="52"/>
      <c r="G19" s="53">
        <f>G15/(1+$C$55)</f>
        <v>40.832478740133801</v>
      </c>
      <c r="H19" s="53">
        <f>H15/(1+$C$55)^2</f>
        <v>39.936526655841867</v>
      </c>
      <c r="I19" s="53">
        <f>I15/(1+$C$55)^3</f>
        <v>40.42949844645937</v>
      </c>
      <c r="J19" s="53">
        <f>J15/(1+$C$55)^4</f>
        <v>37.901937587336803</v>
      </c>
      <c r="K19" s="53">
        <f>K15/(1+$C$55)^5</f>
        <v>36.136306874158805</v>
      </c>
      <c r="L19" s="53">
        <f>L15/(1+$C$55)^6</f>
        <v>34.272207275941412</v>
      </c>
      <c r="M19" s="53">
        <f>M15/(1+$C$55)^7</f>
        <v>33.020364971147437</v>
      </c>
      <c r="N19" s="53">
        <f>N15/(1+$C$55)^8</f>
        <v>31.814248030449637</v>
      </c>
      <c r="O19" s="53">
        <f>O15/(1+$C$55)^9</f>
        <v>30.013599054380311</v>
      </c>
      <c r="P19" s="53">
        <f>P15/(1+$C$55)^10</f>
        <v>28.776248577553904</v>
      </c>
      <c r="Q19" s="54">
        <f>(Q15/(C55-Q12))/(1+C55)^10</f>
        <v>585.08049262292832</v>
      </c>
    </row>
    <row r="20" spans="1:18" x14ac:dyDescent="0.2">
      <c r="A20" s="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6"/>
      <c r="P20" s="3"/>
      <c r="Q20" s="3"/>
      <c r="R20" s="3"/>
    </row>
    <row r="21" spans="1:18" x14ac:dyDescent="0.2">
      <c r="A21" s="2"/>
      <c r="J21" s="99"/>
      <c r="K21" s="99"/>
      <c r="L21" s="99"/>
      <c r="M21" s="99"/>
      <c r="N21" s="99"/>
      <c r="O21" s="99"/>
      <c r="P21" s="99"/>
      <c r="Q21" s="99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22</v>
      </c>
      <c r="B23" s="33"/>
      <c r="C23" s="33"/>
      <c r="D23" s="34"/>
      <c r="E23" s="23"/>
      <c r="F23" s="33"/>
      <c r="G23" s="88" t="s">
        <v>23</v>
      </c>
      <c r="H23" s="89"/>
      <c r="I23" s="90">
        <v>8.5900000000000004E-3</v>
      </c>
      <c r="J23" s="24" t="s">
        <v>24</v>
      </c>
    </row>
    <row r="24" spans="1:18" x14ac:dyDescent="0.2">
      <c r="A24" s="35"/>
      <c r="B24" s="36"/>
      <c r="C24" s="36"/>
      <c r="D24" s="37"/>
      <c r="E24" s="36"/>
      <c r="F24" s="36"/>
      <c r="G24" s="91"/>
      <c r="H24" s="6"/>
      <c r="I24" s="92"/>
      <c r="J24" s="26"/>
    </row>
    <row r="25" spans="1:18" x14ac:dyDescent="0.2">
      <c r="A25" s="35"/>
      <c r="B25" s="36"/>
      <c r="C25" s="36"/>
      <c r="D25" s="38"/>
      <c r="F25" s="36"/>
      <c r="G25" s="91" t="s">
        <v>25</v>
      </c>
      <c r="H25" s="6"/>
      <c r="I25" s="93">
        <f>(I27-I23)*I29</f>
        <v>5.5269000000000006E-2</v>
      </c>
      <c r="J25" s="26"/>
    </row>
    <row r="26" spans="1:18" x14ac:dyDescent="0.2">
      <c r="A26" s="35"/>
      <c r="B26" s="36"/>
      <c r="C26" s="36"/>
      <c r="D26" s="38"/>
      <c r="F26" s="36"/>
      <c r="G26" s="91"/>
      <c r="H26" s="6"/>
      <c r="I26" s="92"/>
      <c r="J26" s="26"/>
    </row>
    <row r="27" spans="1:18" x14ac:dyDescent="0.2">
      <c r="A27" s="35"/>
      <c r="B27" s="36"/>
      <c r="C27" s="36"/>
      <c r="D27" s="38"/>
      <c r="F27" s="36"/>
      <c r="G27" s="91" t="s">
        <v>26</v>
      </c>
      <c r="H27" s="6"/>
      <c r="I27" s="94">
        <v>7.0000000000000007E-2</v>
      </c>
      <c r="J27" s="26" t="s">
        <v>27</v>
      </c>
    </row>
    <row r="28" spans="1:18" x14ac:dyDescent="0.2">
      <c r="A28" s="35"/>
      <c r="B28" s="36"/>
      <c r="C28" s="36"/>
      <c r="D28" s="39"/>
      <c r="F28" s="36"/>
      <c r="G28" s="91"/>
      <c r="H28" s="6"/>
      <c r="I28" s="92"/>
      <c r="J28" s="26"/>
    </row>
    <row r="29" spans="1:18" x14ac:dyDescent="0.2">
      <c r="A29" s="35"/>
      <c r="B29" s="36"/>
      <c r="C29" s="36"/>
      <c r="D29" s="39"/>
      <c r="F29" s="36"/>
      <c r="G29" s="91" t="s">
        <v>32</v>
      </c>
      <c r="H29" s="6"/>
      <c r="I29" s="77">
        <v>0.9</v>
      </c>
      <c r="J29" s="26" t="s">
        <v>28</v>
      </c>
    </row>
    <row r="30" spans="1:18" x14ac:dyDescent="0.2">
      <c r="A30" s="35"/>
      <c r="B30" s="36"/>
      <c r="C30" s="36"/>
      <c r="D30" s="40"/>
      <c r="F30" s="36"/>
      <c r="G30" s="91"/>
      <c r="H30" s="6"/>
      <c r="I30" s="92"/>
      <c r="J30" s="26"/>
    </row>
    <row r="31" spans="1:18" x14ac:dyDescent="0.2">
      <c r="A31" s="35"/>
      <c r="B31" s="36"/>
      <c r="C31" s="36"/>
      <c r="D31" s="37"/>
      <c r="F31" s="36"/>
      <c r="G31" s="91" t="s">
        <v>29</v>
      </c>
      <c r="H31" s="6"/>
      <c r="I31" s="94">
        <f>I23+(I27-I23)*I29</f>
        <v>6.3858999999999999E-2</v>
      </c>
      <c r="J31" s="26" t="s">
        <v>30</v>
      </c>
    </row>
    <row r="32" spans="1:18" x14ac:dyDescent="0.2">
      <c r="A32" s="25"/>
      <c r="C32" s="41"/>
      <c r="E32" s="36"/>
      <c r="F32" s="36"/>
      <c r="G32" s="91"/>
      <c r="H32" s="6"/>
      <c r="I32" s="6"/>
      <c r="J32" s="26"/>
    </row>
    <row r="33" spans="1:10" x14ac:dyDescent="0.2">
      <c r="A33" s="25"/>
      <c r="G33" s="95" t="s">
        <v>31</v>
      </c>
      <c r="H33" s="96"/>
      <c r="I33" s="97">
        <f>I31</f>
        <v>6.3858999999999999E-2</v>
      </c>
      <c r="J33" s="26"/>
    </row>
    <row r="34" spans="1:10" x14ac:dyDescent="0.2">
      <c r="A34" s="35" t="s">
        <v>6</v>
      </c>
      <c r="B34" s="36"/>
      <c r="C34" s="42"/>
      <c r="D34" s="27"/>
      <c r="G34" s="91"/>
      <c r="H34" s="6"/>
      <c r="I34" s="6"/>
      <c r="J34" s="26"/>
    </row>
    <row r="35" spans="1:10" ht="15.75" hidden="1" customHeight="1" x14ac:dyDescent="0.2">
      <c r="A35" s="25"/>
      <c r="G35" s="25"/>
      <c r="J35" s="26"/>
    </row>
    <row r="36" spans="1:10" ht="15.75" hidden="1" customHeight="1" x14ac:dyDescent="0.2">
      <c r="A36" s="25"/>
      <c r="B36" s="1" t="s">
        <v>7</v>
      </c>
      <c r="D36" s="43">
        <v>0.08</v>
      </c>
      <c r="G36" s="25"/>
      <c r="J36" s="26"/>
    </row>
    <row r="37" spans="1:10" ht="15.75" hidden="1" customHeight="1" x14ac:dyDescent="0.2">
      <c r="A37" s="25"/>
      <c r="G37" s="25"/>
      <c r="J37" s="26"/>
    </row>
    <row r="38" spans="1:10" ht="15.75" hidden="1" customHeight="1" x14ac:dyDescent="0.2">
      <c r="A38" s="25"/>
      <c r="G38" s="25"/>
      <c r="J38" s="26"/>
    </row>
    <row r="39" spans="1:10" ht="15.75" hidden="1" customHeight="1" x14ac:dyDescent="0.2">
      <c r="A39" s="25"/>
      <c r="G39" s="25"/>
      <c r="J39" s="26"/>
    </row>
    <row r="40" spans="1:10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18</v>
      </c>
      <c r="C46" s="29"/>
      <c r="D46" s="44">
        <f>I33</f>
        <v>6.3858999999999999E-2</v>
      </c>
      <c r="E46" s="29"/>
      <c r="F46" s="29"/>
      <c r="G46" s="28"/>
      <c r="H46" s="29"/>
      <c r="I46" s="29"/>
      <c r="J46" s="30"/>
    </row>
    <row r="47" spans="1:10" x14ac:dyDescent="0.2"/>
    <row r="48" spans="1:10" x14ac:dyDescent="0.2">
      <c r="A48" s="16"/>
      <c r="B48" s="17"/>
      <c r="C48" s="81">
        <v>45226</v>
      </c>
      <c r="D48" s="18" t="s">
        <v>3</v>
      </c>
      <c r="E48" s="19"/>
      <c r="F48" s="20"/>
      <c r="G48" s="21"/>
      <c r="H48" s="21"/>
      <c r="I48" s="21"/>
    </row>
    <row r="49" spans="1:17" ht="17" x14ac:dyDescent="0.2">
      <c r="A49" s="45" t="s">
        <v>0</v>
      </c>
      <c r="B49" s="46" t="s">
        <v>37</v>
      </c>
      <c r="C49" s="56">
        <f>C50*C51</f>
        <v>763.02566153700002</v>
      </c>
      <c r="D49" s="47">
        <f>SUM(G19:Q19)</f>
        <v>938.21390883633171</v>
      </c>
      <c r="E49" s="46"/>
    </row>
    <row r="50" spans="1:17" x14ac:dyDescent="0.2">
      <c r="A50" s="45"/>
      <c r="B50" s="46" t="s">
        <v>38</v>
      </c>
      <c r="C50" s="56">
        <f>0.244445411-0.0035153</f>
        <v>0.240930111</v>
      </c>
      <c r="D50" s="56">
        <f>C50</f>
        <v>0.240930111</v>
      </c>
      <c r="E50" s="46"/>
    </row>
    <row r="51" spans="1:17" x14ac:dyDescent="0.2">
      <c r="A51" s="45"/>
      <c r="B51" s="46" t="s">
        <v>11</v>
      </c>
      <c r="C51" s="56">
        <v>3167</v>
      </c>
      <c r="D51" s="56">
        <f>D49/(D50)</f>
        <v>3894.1330535324068</v>
      </c>
      <c r="E51" s="46"/>
    </row>
    <row r="52" spans="1:17" x14ac:dyDescent="0.2">
      <c r="A52" s="45"/>
      <c r="B52" s="46" t="s">
        <v>2</v>
      </c>
      <c r="C52" s="46"/>
      <c r="D52" s="106">
        <f>IF(C51/D51-1&gt;0,0,C51/D51-1)*-1</f>
        <v>0.18672527197621491</v>
      </c>
      <c r="E52" s="46"/>
    </row>
    <row r="53" spans="1:17" x14ac:dyDescent="0.2">
      <c r="A53" s="45"/>
      <c r="B53" s="46" t="s">
        <v>12</v>
      </c>
      <c r="C53" s="46"/>
      <c r="D53" s="50">
        <f>IF(C51/D51-1&lt;0,0,C51/D51-1)</f>
        <v>0</v>
      </c>
      <c r="E53" s="46"/>
    </row>
    <row r="54" spans="1:17" x14ac:dyDescent="0.2">
      <c r="A54" s="46"/>
      <c r="B54" s="46"/>
      <c r="C54" s="46"/>
      <c r="D54" s="48"/>
      <c r="E54" s="48"/>
    </row>
    <row r="55" spans="1:17" x14ac:dyDescent="0.2">
      <c r="A55" s="48" t="s">
        <v>17</v>
      </c>
      <c r="B55" s="46"/>
      <c r="C55" s="50">
        <f>D46</f>
        <v>6.3858999999999999E-2</v>
      </c>
      <c r="D55" s="49"/>
      <c r="E55" s="46"/>
      <c r="J55" s="68"/>
    </row>
    <row r="56" spans="1:17" x14ac:dyDescent="0.2">
      <c r="A56" s="48"/>
      <c r="B56" s="46"/>
      <c r="C56" s="50"/>
      <c r="D56" s="49"/>
      <c r="E56" s="46"/>
    </row>
    <row r="57" spans="1:17" hidden="1" x14ac:dyDescent="0.2">
      <c r="A57" s="48" t="s">
        <v>20</v>
      </c>
      <c r="B57" s="71">
        <v>0.108</v>
      </c>
      <c r="C57" s="50"/>
      <c r="D57" s="72">
        <f>SUM(H57:Q57)*1000</f>
        <v>473709.83383408556</v>
      </c>
      <c r="E57" s="46"/>
      <c r="F57" s="1" t="s">
        <v>21</v>
      </c>
      <c r="H57" s="1">
        <f>G15/(1+$B$57)</f>
        <v>39.205776173285194</v>
      </c>
      <c r="I57" s="1">
        <f>H15/(1+$B$57)^2</f>
        <v>36.817891540356314</v>
      </c>
      <c r="J57" s="1">
        <f>I15/(1+$B$57)^3</f>
        <v>35.787494013460936</v>
      </c>
      <c r="K57" s="1">
        <f>J15/(1+$B$57)^4</f>
        <v>32.213555251865515</v>
      </c>
      <c r="L57" s="1">
        <f>K15/(1+$B$57)^5</f>
        <v>29.489358386251968</v>
      </c>
      <c r="M57" s="1">
        <f>L15/(1+$B$57)^6</f>
        <v>26.853935729321034</v>
      </c>
      <c r="N57" s="1">
        <f>M15/(1+$B$57)^7</f>
        <v>24.842314190030734</v>
      </c>
      <c r="O57" s="1">
        <f>N15/(1+$B$57)^8</f>
        <v>22.98138271189665</v>
      </c>
      <c r="P57" s="1">
        <f>O15/(1+$B$57)^9</f>
        <v>20.816939533423977</v>
      </c>
      <c r="Q57" s="1">
        <f>(Q15/(B57-Q12))/(1+B57)^10</f>
        <v>204.70118630419327</v>
      </c>
    </row>
    <row r="58" spans="1:17" ht="17" thickBot="1" x14ac:dyDescent="0.25">
      <c r="A58" s="22"/>
      <c r="C58" s="63"/>
      <c r="D58" s="64"/>
    </row>
    <row r="59" spans="1:17" x14ac:dyDescent="0.2">
      <c r="A59" s="57" t="str">
        <f>"KGV Multiple in "&amp;P10</f>
        <v>KGV Multiple in 2033</v>
      </c>
      <c r="B59" s="23"/>
      <c r="C59" s="65">
        <v>15</v>
      </c>
      <c r="D59" s="23"/>
      <c r="E59" s="24"/>
    </row>
    <row r="60" spans="1:17" x14ac:dyDescent="0.2">
      <c r="A60" s="25" t="s">
        <v>19</v>
      </c>
      <c r="C60" s="66"/>
      <c r="E60" s="26"/>
    </row>
    <row r="61" spans="1:17" x14ac:dyDescent="0.2">
      <c r="A61" s="25"/>
      <c r="C61" s="66"/>
      <c r="E61" s="26"/>
    </row>
    <row r="62" spans="1:17" x14ac:dyDescent="0.2">
      <c r="A62" s="25" t="s">
        <v>34</v>
      </c>
      <c r="C62" s="66"/>
      <c r="E62" s="58">
        <f>P17*C59</f>
        <v>3327.1706349376082</v>
      </c>
    </row>
    <row r="63" spans="1:17" x14ac:dyDescent="0.2">
      <c r="A63" s="25"/>
      <c r="C63" s="66"/>
      <c r="E63" s="26"/>
    </row>
    <row r="64" spans="1:17" x14ac:dyDescent="0.2">
      <c r="A64" s="25" t="s">
        <v>15</v>
      </c>
      <c r="C64" s="67">
        <v>0.25</v>
      </c>
      <c r="E64" s="26"/>
    </row>
    <row r="65" spans="1:5" x14ac:dyDescent="0.2">
      <c r="A65" s="25"/>
      <c r="E65" s="26"/>
    </row>
    <row r="66" spans="1:5" x14ac:dyDescent="0.2">
      <c r="A66" s="25" t="s">
        <v>16</v>
      </c>
      <c r="E66" s="58">
        <f>SUM(G17:Q17)*C64</f>
        <v>512.35841485492642</v>
      </c>
    </row>
    <row r="67" spans="1:5" x14ac:dyDescent="0.2">
      <c r="A67" s="25"/>
      <c r="E67" s="59"/>
    </row>
    <row r="68" spans="1:5" x14ac:dyDescent="0.2">
      <c r="A68" s="100" t="s">
        <v>41</v>
      </c>
      <c r="E68" s="101">
        <f>(E66*0.15)*-1</f>
        <v>-76.853762228238963</v>
      </c>
    </row>
    <row r="69" spans="1:5" x14ac:dyDescent="0.2">
      <c r="A69" s="25"/>
      <c r="C69" s="41"/>
      <c r="D69" s="41"/>
      <c r="E69" s="60"/>
    </row>
    <row r="70" spans="1:5" x14ac:dyDescent="0.2">
      <c r="A70" s="25" t="str">
        <f>"Gesamtwert "&amp;P10</f>
        <v>Gesamtwert 2033</v>
      </c>
      <c r="E70" s="58">
        <f>SUM(E62:E68)</f>
        <v>3762.6752875642956</v>
      </c>
    </row>
    <row r="71" spans="1:5" x14ac:dyDescent="0.2">
      <c r="A71" s="25"/>
      <c r="E71" s="58"/>
    </row>
    <row r="72" spans="1:5" x14ac:dyDescent="0.2">
      <c r="A72" s="25" t="str">
        <f>"Steigerung Gesamt bis "&amp;P10&amp;" in Prozent"</f>
        <v>Steigerung Gesamt bis 2033 in Prozent</v>
      </c>
      <c r="E72" s="60">
        <f>E70/C51-1</f>
        <v>0.18808818679011541</v>
      </c>
    </row>
    <row r="73" spans="1:5" x14ac:dyDescent="0.2">
      <c r="A73" s="25"/>
      <c r="E73" s="26"/>
    </row>
    <row r="74" spans="1:5" ht="17" thickBot="1" x14ac:dyDescent="0.25">
      <c r="A74" s="61" t="str">
        <f>"Renditeerwartung bis "&amp;P10&amp;" pro Jahr"</f>
        <v>Renditeerwartung bis 2033 pro Jahr</v>
      </c>
      <c r="B74" s="62"/>
      <c r="C74" s="62"/>
      <c r="D74" s="62"/>
      <c r="E74" s="103">
        <f>(E70/C51)^(1/10)-1</f>
        <v>1.7383916602464744E-2</v>
      </c>
    </row>
    <row r="75" spans="1:5" x14ac:dyDescent="0.2"/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11" priority="5" percent="1" rank="10"/>
  </conditionalFormatting>
  <conditionalFormatting sqref="K9">
    <cfRule type="top10" dxfId="10" priority="4" percent="1" rank="10"/>
  </conditionalFormatting>
  <conditionalFormatting sqref="L2:L5">
    <cfRule type="top10" dxfId="9" priority="3" percent="1" rank="10"/>
  </conditionalFormatting>
  <conditionalFormatting sqref="L6:L8">
    <cfRule type="top10" dxfId="8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089AB-A969-864E-B80B-9176CDCA58C7}">
  <dimension ref="A1:AB75"/>
  <sheetViews>
    <sheetView zoomScaleNormal="100" workbookViewId="0"/>
  </sheetViews>
  <sheetFormatPr baseColWidth="10" defaultColWidth="0" defaultRowHeight="16" zeroHeight="1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28" width="0" style="1" hidden="1" customWidth="1"/>
    <col min="29" max="16384" width="10.5" style="1" hidden="1"/>
  </cols>
  <sheetData>
    <row r="1" spans="1:28" x14ac:dyDescent="0.2"/>
    <row r="2" spans="1:28" ht="26" x14ac:dyDescent="0.3">
      <c r="B2" s="31" t="s">
        <v>9</v>
      </c>
    </row>
    <row r="3" spans="1:28" x14ac:dyDescent="0.2"/>
    <row r="4" spans="1:28" x14ac:dyDescent="0.2">
      <c r="B4" s="22" t="str">
        <f>Pessimistisch!B4</f>
        <v>Annahmen für TIS INTEC</v>
      </c>
    </row>
    <row r="5" spans="1:28" x14ac:dyDescent="0.2"/>
    <row r="6" spans="1:28" x14ac:dyDescent="0.2">
      <c r="B6" s="1" t="str">
        <f>Pessimistisch!B6</f>
        <v>Alle Angaben in Mrd.</v>
      </c>
    </row>
    <row r="7" spans="1:28" x14ac:dyDescent="0.2"/>
    <row r="8" spans="1:28" x14ac:dyDescent="0.2"/>
    <row r="9" spans="1:28" s="8" customFormat="1" x14ac:dyDescent="0.2">
      <c r="G9" s="9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f>Pessimistisch!C10</f>
        <v>2020</v>
      </c>
      <c r="D10" s="11">
        <f>Pessimistisch!D10</f>
        <v>2021</v>
      </c>
      <c r="E10" s="11">
        <f>Pessimistisch!E10</f>
        <v>2022</v>
      </c>
      <c r="F10" s="11">
        <f>Pessimistisch!F10</f>
        <v>2023</v>
      </c>
      <c r="G10" s="55">
        <f>Pessimistisch!G10</f>
        <v>2024</v>
      </c>
      <c r="H10" s="55">
        <f>Pessimistisch!H10</f>
        <v>2025</v>
      </c>
      <c r="I10" s="55">
        <f>Pessimistisch!I10</f>
        <v>2026</v>
      </c>
      <c r="J10" s="55">
        <f>Pessimistisch!J10</f>
        <v>2027</v>
      </c>
      <c r="K10" s="55">
        <f>Pessimistisch!K10</f>
        <v>2028</v>
      </c>
      <c r="L10" s="55">
        <f>Pessimistisch!L10</f>
        <v>2029</v>
      </c>
      <c r="M10" s="55">
        <f>Pessimistisch!M10</f>
        <v>2030</v>
      </c>
      <c r="N10" s="55">
        <f>Pessimistisch!N10</f>
        <v>2031</v>
      </c>
      <c r="O10" s="55">
        <f>Pessimistisch!O10</f>
        <v>2032</v>
      </c>
      <c r="P10" s="55">
        <f>Pessimistisch!P10</f>
        <v>2033</v>
      </c>
      <c r="Q10" s="55" t="str">
        <f>Pessimistisch!Q10</f>
        <v>2034ff.</v>
      </c>
    </row>
    <row r="11" spans="1:28" x14ac:dyDescent="0.2">
      <c r="A11" s="5"/>
      <c r="B11" s="4" t="s">
        <v>4</v>
      </c>
      <c r="C11" s="80">
        <f>Pessimistisch!C$11</f>
        <v>443.77199999999999</v>
      </c>
      <c r="D11" s="80">
        <f>Pessimistisch!D$11</f>
        <v>448.38299999999998</v>
      </c>
      <c r="E11" s="80">
        <f>Pessimistisch!E$11</f>
        <v>482.54700000000003</v>
      </c>
      <c r="F11" s="80">
        <f>Pessimistisch!F$11</f>
        <v>508.4</v>
      </c>
      <c r="G11" s="70">
        <f>Pessimistisch!G11</f>
        <v>534.26229000000001</v>
      </c>
      <c r="H11" s="70">
        <f>Pessimistisch!H11</f>
        <v>553.27683000000002</v>
      </c>
      <c r="I11" s="70">
        <f>Pessimistisch!I11</f>
        <v>576.78581999999994</v>
      </c>
      <c r="J11" s="70">
        <f>I11*(1+J12)</f>
        <v>611.39296919999992</v>
      </c>
      <c r="K11" s="70">
        <f>J11*(1+K12)</f>
        <v>645.01958250599989</v>
      </c>
      <c r="L11" s="70">
        <f t="shared" ref="L11:Q11" si="0">K11*(1+L12)</f>
        <v>680.4956595438299</v>
      </c>
      <c r="M11" s="70">
        <f t="shared" si="0"/>
        <v>714.52044252102144</v>
      </c>
      <c r="N11" s="70">
        <f t="shared" si="0"/>
        <v>743.10126022186228</v>
      </c>
      <c r="O11" s="70">
        <f t="shared" si="0"/>
        <v>772.82531063073679</v>
      </c>
      <c r="P11" s="70">
        <f t="shared" si="0"/>
        <v>799.87419650281254</v>
      </c>
      <c r="Q11" s="70">
        <f t="shared" si="0"/>
        <v>815.87168043286886</v>
      </c>
    </row>
    <row r="12" spans="1:28" x14ac:dyDescent="0.2">
      <c r="A12" s="5"/>
      <c r="B12" s="4" t="s">
        <v>1</v>
      </c>
      <c r="C12" s="84"/>
      <c r="D12" s="87">
        <f t="shared" ref="D12:I12" si="1">D11/C11-1</f>
        <v>1.0390470782293493E-2</v>
      </c>
      <c r="E12" s="87">
        <f t="shared" si="1"/>
        <v>7.6193789684265489E-2</v>
      </c>
      <c r="F12" s="87">
        <f t="shared" si="1"/>
        <v>5.3576128335685258E-2</v>
      </c>
      <c r="G12" s="83">
        <f t="shared" si="1"/>
        <v>5.0869964594807193E-2</v>
      </c>
      <c r="H12" s="83">
        <f t="shared" si="1"/>
        <v>3.5590271587388367E-2</v>
      </c>
      <c r="I12" s="83">
        <f t="shared" si="1"/>
        <v>4.2490465396860966E-2</v>
      </c>
      <c r="J12" s="83">
        <v>0.06</v>
      </c>
      <c r="K12" s="69">
        <v>5.5E-2</v>
      </c>
      <c r="L12" s="69">
        <v>5.5E-2</v>
      </c>
      <c r="M12" s="69">
        <v>0.05</v>
      </c>
      <c r="N12" s="69">
        <v>0.04</v>
      </c>
      <c r="O12" s="69">
        <v>0.04</v>
      </c>
      <c r="P12" s="69">
        <v>3.5000000000000003E-2</v>
      </c>
      <c r="Q12" s="12">
        <v>0.02</v>
      </c>
    </row>
    <row r="13" spans="1:28" ht="16" customHeight="1" x14ac:dyDescent="0.2">
      <c r="A13" s="5"/>
      <c r="B13" s="4" t="s">
        <v>13</v>
      </c>
      <c r="C13" s="86">
        <f>C14/C11</f>
        <v>0.10104062446481527</v>
      </c>
      <c r="D13" s="86">
        <f t="shared" ref="D13:F13" si="2">D14/D11</f>
        <v>0.10202884587506662</v>
      </c>
      <c r="E13" s="86">
        <f t="shared" si="2"/>
        <v>0.11343765477766932</v>
      </c>
      <c r="F13" s="86">
        <f t="shared" si="2"/>
        <v>0.12259638080251771</v>
      </c>
      <c r="G13" s="82">
        <f>G14/G11</f>
        <v>0.12140104441958649</v>
      </c>
      <c r="H13" s="82">
        <f t="shared" ref="H13:I13" si="3">H14/H11</f>
        <v>0.12149433403889333</v>
      </c>
      <c r="I13" s="82">
        <f t="shared" si="3"/>
        <v>0.12529780985253763</v>
      </c>
      <c r="J13" s="82">
        <v>0.126</v>
      </c>
      <c r="K13" s="82">
        <v>0.1265</v>
      </c>
      <c r="L13" s="82">
        <v>0.127</v>
      </c>
      <c r="M13" s="82">
        <v>0.1275</v>
      </c>
      <c r="N13" s="82">
        <v>0.128</v>
      </c>
      <c r="O13" s="82">
        <v>0.1285</v>
      </c>
      <c r="P13" s="82">
        <v>0.129</v>
      </c>
      <c r="Q13" s="82">
        <v>0.1295</v>
      </c>
    </row>
    <row r="14" spans="1:28" ht="17.25" customHeight="1" x14ac:dyDescent="0.2">
      <c r="A14" s="5"/>
      <c r="B14" s="4" t="s">
        <v>14</v>
      </c>
      <c r="C14" s="80">
        <f>Pessimistisch!C14</f>
        <v>44.838999999999999</v>
      </c>
      <c r="D14" s="80">
        <f>Pessimistisch!D14</f>
        <v>45.747999999999998</v>
      </c>
      <c r="E14" s="80">
        <f>Pessimistisch!E14</f>
        <v>54.738999999999997</v>
      </c>
      <c r="F14" s="80">
        <f>Pessimistisch!F14</f>
        <v>62.328000000000003</v>
      </c>
      <c r="G14" s="70">
        <f>Pessimistisch!G14</f>
        <v>64.86</v>
      </c>
      <c r="H14" s="70">
        <f>Pessimistisch!H14</f>
        <v>67.22</v>
      </c>
      <c r="I14" s="70">
        <f>Pessimistisch!I14</f>
        <v>72.27</v>
      </c>
      <c r="J14" s="70">
        <f>J11*J13</f>
        <v>77.035514119199988</v>
      </c>
      <c r="K14" s="70">
        <f t="shared" ref="K14:Q14" si="4">K11*K13</f>
        <v>81.594977187008993</v>
      </c>
      <c r="L14" s="70">
        <f t="shared" si="4"/>
        <v>86.422948762066397</v>
      </c>
      <c r="M14" s="70">
        <f t="shared" si="4"/>
        <v>91.101356421430239</v>
      </c>
      <c r="N14" s="70">
        <f t="shared" si="4"/>
        <v>95.116961308398373</v>
      </c>
      <c r="O14" s="70">
        <f t="shared" si="4"/>
        <v>99.308052416049676</v>
      </c>
      <c r="P14" s="70">
        <f>P11*P13</f>
        <v>103.18377134886282</v>
      </c>
      <c r="Q14" s="70">
        <f t="shared" si="4"/>
        <v>105.65538261605651</v>
      </c>
    </row>
    <row r="15" spans="1:28" x14ac:dyDescent="0.2">
      <c r="A15" s="98">
        <v>0.3</v>
      </c>
      <c r="B15" s="4" t="s">
        <v>36</v>
      </c>
      <c r="C15" s="80">
        <f>Pessimistisch!C15</f>
        <v>29.411000000000001</v>
      </c>
      <c r="D15" s="80">
        <f>Pessimistisch!D15</f>
        <v>27.692</v>
      </c>
      <c r="E15" s="80">
        <f>Pessimistisch!E15</f>
        <v>39.462000000000003</v>
      </c>
      <c r="F15" s="80">
        <f>Pessimistisch!F15</f>
        <v>55.460999999999999</v>
      </c>
      <c r="G15" s="70">
        <f>Pessimistisch!G15</f>
        <v>43.44</v>
      </c>
      <c r="H15" s="70">
        <f>Pessimistisch!H15</f>
        <v>45.2</v>
      </c>
      <c r="I15" s="70">
        <f>Pessimistisch!I15</f>
        <v>48.68</v>
      </c>
      <c r="J15" s="70">
        <f>J14*(1-$A$15)</f>
        <v>53.924859883439986</v>
      </c>
      <c r="K15" s="70">
        <f>K14*(1-$A$15)</f>
        <v>57.116484030906292</v>
      </c>
      <c r="L15" s="70">
        <f t="shared" ref="L15:Q15" si="5">L14*(1-$A$15)</f>
        <v>60.496064133446474</v>
      </c>
      <c r="M15" s="70">
        <f t="shared" si="5"/>
        <v>63.770949495001162</v>
      </c>
      <c r="N15" s="70">
        <f t="shared" si="5"/>
        <v>66.581872915878861</v>
      </c>
      <c r="O15" s="70">
        <f t="shared" si="5"/>
        <v>69.515636691234775</v>
      </c>
      <c r="P15" s="70">
        <f>P14*(1-$A$15)</f>
        <v>72.228639944203962</v>
      </c>
      <c r="Q15" s="70">
        <f t="shared" si="5"/>
        <v>73.958767831239555</v>
      </c>
    </row>
    <row r="16" spans="1:28" ht="35" hidden="1" thickBot="1" x14ac:dyDescent="0.25">
      <c r="A16" s="13" t="s">
        <v>5</v>
      </c>
      <c r="B16" s="14"/>
      <c r="C16" s="15">
        <f t="shared" ref="C16:J16" si="6">C15/C14</f>
        <v>0.65592452998505768</v>
      </c>
      <c r="D16" s="15">
        <f t="shared" si="6"/>
        <v>0.60531607939144882</v>
      </c>
      <c r="E16" s="15">
        <f t="shared" si="6"/>
        <v>0.7209119640475713</v>
      </c>
      <c r="F16" s="15">
        <f t="shared" si="6"/>
        <v>0.88982479784366575</v>
      </c>
      <c r="G16" s="15">
        <f t="shared" si="6"/>
        <v>0.66975023126734501</v>
      </c>
      <c r="H16" s="15">
        <f t="shared" si="6"/>
        <v>0.67241892293960137</v>
      </c>
      <c r="I16" s="15">
        <f t="shared" si="6"/>
        <v>0.67358516673585167</v>
      </c>
      <c r="J16" s="15">
        <f t="shared" si="6"/>
        <v>0.7</v>
      </c>
    </row>
    <row r="17" spans="1:18" ht="17" x14ac:dyDescent="0.2">
      <c r="A17" s="2" t="s">
        <v>33</v>
      </c>
      <c r="C17" s="80"/>
      <c r="D17" s="80"/>
      <c r="E17" s="80"/>
      <c r="F17" s="80"/>
      <c r="G17" s="70">
        <f>G15/G18</f>
        <v>180.30124926975191</v>
      </c>
      <c r="H17" s="70">
        <f t="shared" ref="H17:P17" si="7">H15/H18</f>
        <v>190.46322056895764</v>
      </c>
      <c r="I17" s="70">
        <f t="shared" si="7"/>
        <v>208.25096755080315</v>
      </c>
      <c r="J17" s="70">
        <f t="shared" si="7"/>
        <v>234.20127395250591</v>
      </c>
      <c r="K17" s="70">
        <f t="shared" si="7"/>
        <v>251.84043605282861</v>
      </c>
      <c r="L17" s="70">
        <f t="shared" si="7"/>
        <v>270.80388294406805</v>
      </c>
      <c r="M17" s="70">
        <f t="shared" si="7"/>
        <v>289.81070249919753</v>
      </c>
      <c r="N17" s="70">
        <f t="shared" si="7"/>
        <v>307.19299863993768</v>
      </c>
      <c r="O17" s="70">
        <f t="shared" si="7"/>
        <v>325.61288339341115</v>
      </c>
      <c r="P17" s="70">
        <f t="shared" si="7"/>
        <v>343.47274586716134</v>
      </c>
      <c r="Q17" s="70"/>
    </row>
    <row r="18" spans="1:18" ht="35" thickBot="1" x14ac:dyDescent="0.25">
      <c r="A18" s="2" t="s">
        <v>35</v>
      </c>
      <c r="C18" s="105">
        <v>0.98499999999999999</v>
      </c>
      <c r="D18" s="80"/>
      <c r="E18" s="80"/>
      <c r="F18" s="80"/>
      <c r="G18" s="70">
        <f>C50</f>
        <v>0.240930111</v>
      </c>
      <c r="H18" s="70">
        <f>G18*$C18</f>
        <v>0.237316159335</v>
      </c>
      <c r="I18" s="70">
        <f t="shared" ref="I18:O18" si="8">H18*$C18</f>
        <v>0.23375641694497498</v>
      </c>
      <c r="J18" s="70">
        <f t="shared" si="8"/>
        <v>0.23025007069080036</v>
      </c>
      <c r="K18" s="70">
        <f t="shared" si="8"/>
        <v>0.22679631963043836</v>
      </c>
      <c r="L18" s="70">
        <f t="shared" si="8"/>
        <v>0.22339437483598179</v>
      </c>
      <c r="M18" s="70">
        <f t="shared" si="8"/>
        <v>0.22004345921344207</v>
      </c>
      <c r="N18" s="70">
        <f t="shared" si="8"/>
        <v>0.21674280732524043</v>
      </c>
      <c r="O18" s="70">
        <f t="shared" si="8"/>
        <v>0.21349166521536181</v>
      </c>
      <c r="P18" s="70">
        <f>O18*$C18</f>
        <v>0.21028929023713139</v>
      </c>
      <c r="Q18" s="70"/>
    </row>
    <row r="19" spans="1:18" ht="17" thickBot="1" x14ac:dyDescent="0.25">
      <c r="A19" s="2"/>
      <c r="E19" s="51" t="s">
        <v>10</v>
      </c>
      <c r="F19" s="52"/>
      <c r="G19" s="53">
        <f>G15/(1+$C$55)</f>
        <v>40.832478740133801</v>
      </c>
      <c r="H19" s="53">
        <f>H15/(1+$C$55)^2</f>
        <v>39.936526655841867</v>
      </c>
      <c r="I19" s="53">
        <f>I15/(1+$C$55)^3</f>
        <v>40.42949844645937</v>
      </c>
      <c r="J19" s="53">
        <f>J15/(1+$C$55)^4</f>
        <v>42.097154130267789</v>
      </c>
      <c r="K19" s="53">
        <f>K15/(1+$C$55)^5</f>
        <v>41.912262505936681</v>
      </c>
      <c r="L19" s="53">
        <f>L15/(1+$C$55)^6</f>
        <v>41.727531018491909</v>
      </c>
      <c r="M19" s="53">
        <f>M15/(1+$C$55)^7</f>
        <v>41.346083708939538</v>
      </c>
      <c r="N19" s="53">
        <f>N15/(1+$C$55)^8</f>
        <v>40.57732671550243</v>
      </c>
      <c r="O19" s="53">
        <f>O15/(1+$C$55)^9</f>
        <v>39.822255744327265</v>
      </c>
      <c r="P19" s="53">
        <f>P15/(1+$C$55)^10</f>
        <v>38.892755873885747</v>
      </c>
      <c r="Q19" s="54">
        <f>(Q15/(C55-Q12))/(1+C55)^10</f>
        <v>908.00914406323739</v>
      </c>
    </row>
    <row r="20" spans="1:18" x14ac:dyDescent="0.2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x14ac:dyDescent="0.2">
      <c r="A21" s="2"/>
      <c r="J21" s="99"/>
      <c r="K21" s="99"/>
      <c r="L21" s="99"/>
      <c r="M21" s="99"/>
      <c r="N21" s="99"/>
      <c r="O21" s="99"/>
      <c r="P21" s="99"/>
      <c r="Q21" s="99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22</v>
      </c>
      <c r="B23" s="33"/>
      <c r="C23" s="33"/>
      <c r="D23" s="34"/>
      <c r="E23" s="23"/>
      <c r="F23" s="33"/>
      <c r="G23" s="88" t="s">
        <v>23</v>
      </c>
      <c r="H23" s="89"/>
      <c r="I23" s="90">
        <f>Pessimistisch!I23</f>
        <v>8.5900000000000004E-3</v>
      </c>
      <c r="J23" s="24" t="s">
        <v>24</v>
      </c>
    </row>
    <row r="24" spans="1:18" x14ac:dyDescent="0.2">
      <c r="A24" s="35"/>
      <c r="B24" s="36"/>
      <c r="C24" s="36"/>
      <c r="D24" s="37"/>
      <c r="E24" s="36"/>
      <c r="F24" s="36"/>
      <c r="G24" s="91"/>
      <c r="H24" s="6"/>
      <c r="I24" s="92"/>
      <c r="J24" s="26"/>
    </row>
    <row r="25" spans="1:18" x14ac:dyDescent="0.2">
      <c r="A25" s="35"/>
      <c r="B25" s="36"/>
      <c r="C25" s="36"/>
      <c r="D25" s="38"/>
      <c r="F25" s="36"/>
      <c r="G25" s="91" t="s">
        <v>25</v>
      </c>
      <c r="H25" s="6"/>
      <c r="I25" s="93">
        <f>(I27-I23)*I29</f>
        <v>5.5269000000000006E-2</v>
      </c>
      <c r="J25" s="26"/>
    </row>
    <row r="26" spans="1:18" x14ac:dyDescent="0.2">
      <c r="A26" s="35"/>
      <c r="B26" s="36"/>
      <c r="C26" s="36"/>
      <c r="D26" s="38"/>
      <c r="F26" s="36"/>
      <c r="G26" s="91"/>
      <c r="H26" s="6"/>
      <c r="I26" s="92"/>
      <c r="J26" s="26"/>
    </row>
    <row r="27" spans="1:18" x14ac:dyDescent="0.2">
      <c r="A27" s="35"/>
      <c r="B27" s="36"/>
      <c r="C27" s="36"/>
      <c r="D27" s="38"/>
      <c r="F27" s="36"/>
      <c r="G27" s="91" t="s">
        <v>26</v>
      </c>
      <c r="H27" s="6"/>
      <c r="I27" s="94">
        <v>7.0000000000000007E-2</v>
      </c>
      <c r="J27" s="26" t="s">
        <v>27</v>
      </c>
    </row>
    <row r="28" spans="1:18" x14ac:dyDescent="0.2">
      <c r="A28" s="35"/>
      <c r="B28" s="36"/>
      <c r="C28" s="36"/>
      <c r="D28" s="39"/>
      <c r="F28" s="36"/>
      <c r="G28" s="91"/>
      <c r="H28" s="6"/>
      <c r="I28" s="92"/>
      <c r="J28" s="26"/>
    </row>
    <row r="29" spans="1:18" x14ac:dyDescent="0.2">
      <c r="A29" s="35"/>
      <c r="B29" s="36"/>
      <c r="C29" s="36"/>
      <c r="D29" s="39"/>
      <c r="F29" s="36"/>
      <c r="G29" s="91" t="s">
        <v>32</v>
      </c>
      <c r="H29" s="6"/>
      <c r="I29" s="77">
        <f>Pessimistisch!I29</f>
        <v>0.9</v>
      </c>
      <c r="J29" s="26" t="s">
        <v>28</v>
      </c>
    </row>
    <row r="30" spans="1:18" x14ac:dyDescent="0.2">
      <c r="A30" s="35"/>
      <c r="B30" s="36"/>
      <c r="C30" s="36"/>
      <c r="D30" s="40"/>
      <c r="F30" s="36"/>
      <c r="G30" s="91"/>
      <c r="H30" s="6"/>
      <c r="I30" s="92"/>
      <c r="J30" s="26"/>
    </row>
    <row r="31" spans="1:18" x14ac:dyDescent="0.2">
      <c r="A31" s="35"/>
      <c r="B31" s="36"/>
      <c r="C31" s="36"/>
      <c r="D31" s="37"/>
      <c r="F31" s="36"/>
      <c r="G31" s="91" t="s">
        <v>29</v>
      </c>
      <c r="H31" s="6"/>
      <c r="I31" s="94">
        <f>I23+(I27-I23)*I29</f>
        <v>6.3858999999999999E-2</v>
      </c>
      <c r="J31" s="26" t="s">
        <v>30</v>
      </c>
    </row>
    <row r="32" spans="1:18" x14ac:dyDescent="0.2">
      <c r="A32" s="25"/>
      <c r="C32" s="41"/>
      <c r="E32" s="36"/>
      <c r="F32" s="36"/>
      <c r="G32" s="91"/>
      <c r="H32" s="6"/>
      <c r="I32" s="6"/>
      <c r="J32" s="26"/>
    </row>
    <row r="33" spans="1:10" x14ac:dyDescent="0.2">
      <c r="A33" s="25"/>
      <c r="G33" s="95" t="s">
        <v>31</v>
      </c>
      <c r="H33" s="96"/>
      <c r="I33" s="97">
        <f>I31</f>
        <v>6.3858999999999999E-2</v>
      </c>
      <c r="J33" s="26"/>
    </row>
    <row r="34" spans="1:10" x14ac:dyDescent="0.2">
      <c r="A34" s="35" t="s">
        <v>6</v>
      </c>
      <c r="B34" s="36"/>
      <c r="C34" s="42"/>
      <c r="D34" s="27"/>
      <c r="G34" s="91"/>
      <c r="H34" s="6"/>
      <c r="I34" s="6"/>
      <c r="J34" s="26"/>
    </row>
    <row r="35" spans="1:10" ht="11" hidden="1" customHeight="1" x14ac:dyDescent="0.2">
      <c r="A35" s="25"/>
      <c r="G35" s="25"/>
      <c r="J35" s="26"/>
    </row>
    <row r="36" spans="1:10" ht="11" hidden="1" customHeight="1" x14ac:dyDescent="0.2">
      <c r="A36" s="25"/>
      <c r="B36" s="1" t="s">
        <v>7</v>
      </c>
      <c r="D36" s="43">
        <v>0.08</v>
      </c>
      <c r="G36" s="25"/>
      <c r="J36" s="26"/>
    </row>
    <row r="37" spans="1:10" ht="11" hidden="1" customHeight="1" x14ac:dyDescent="0.2">
      <c r="A37" s="25"/>
      <c r="G37" s="25"/>
      <c r="J37" s="26"/>
    </row>
    <row r="38" spans="1:10" ht="11" hidden="1" customHeight="1" x14ac:dyDescent="0.2">
      <c r="A38" s="25"/>
      <c r="G38" s="25"/>
      <c r="J38" s="26"/>
    </row>
    <row r="39" spans="1:10" ht="11" hidden="1" customHeight="1" x14ac:dyDescent="0.2">
      <c r="A39" s="25"/>
      <c r="G39" s="25"/>
      <c r="J39" s="26"/>
    </row>
    <row r="40" spans="1:10" ht="11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t="11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t="11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t="11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t="11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18</v>
      </c>
      <c r="C46" s="29"/>
      <c r="D46" s="44">
        <f>I33</f>
        <v>6.3858999999999999E-2</v>
      </c>
      <c r="E46" s="29"/>
      <c r="F46" s="29"/>
      <c r="G46" s="28"/>
      <c r="H46" s="29"/>
      <c r="I46" s="29"/>
      <c r="J46" s="30"/>
    </row>
    <row r="47" spans="1:10" x14ac:dyDescent="0.2"/>
    <row r="48" spans="1:10" x14ac:dyDescent="0.2">
      <c r="A48" s="16"/>
      <c r="B48" s="17"/>
      <c r="C48" s="81">
        <f>Pessimistisch!C48</f>
        <v>45226</v>
      </c>
      <c r="D48" s="18" t="s">
        <v>3</v>
      </c>
      <c r="E48" s="19"/>
      <c r="F48" s="20"/>
      <c r="G48" s="21"/>
      <c r="H48" s="21"/>
      <c r="I48" s="21"/>
    </row>
    <row r="49" spans="1:17" ht="17" x14ac:dyDescent="0.2">
      <c r="A49" s="45" t="s">
        <v>0</v>
      </c>
      <c r="B49" s="46" t="str">
        <f>Pessimistisch!B49</f>
        <v>Marktkapitalisierung, Mrd.</v>
      </c>
      <c r="C49" s="56">
        <f>C50*C51</f>
        <v>763.02566153700002</v>
      </c>
      <c r="D49" s="47">
        <f>SUM(G19:Q19)</f>
        <v>1315.5830176030238</v>
      </c>
      <c r="E49" s="46"/>
    </row>
    <row r="50" spans="1:17" x14ac:dyDescent="0.2">
      <c r="A50" s="45"/>
      <c r="B50" s="46" t="str">
        <f>Pessimistisch!B50</f>
        <v>Anzahl Aktien gesamt, Mrd.</v>
      </c>
      <c r="C50" s="56">
        <f>Pessimistisch!C50</f>
        <v>0.240930111</v>
      </c>
      <c r="D50" s="56">
        <f>C50</f>
        <v>0.240930111</v>
      </c>
      <c r="E50" s="46"/>
    </row>
    <row r="51" spans="1:17" x14ac:dyDescent="0.2">
      <c r="A51" s="45"/>
      <c r="B51" s="46" t="s">
        <v>11</v>
      </c>
      <c r="C51" s="56">
        <f>Pessimistisch!C51</f>
        <v>3167</v>
      </c>
      <c r="D51" s="56">
        <f>D49/(D50)</f>
        <v>5460.4341987084536</v>
      </c>
      <c r="E51" s="46"/>
    </row>
    <row r="52" spans="1:17" x14ac:dyDescent="0.2">
      <c r="A52" s="45"/>
      <c r="B52" s="46" t="s">
        <v>2</v>
      </c>
      <c r="C52" s="46"/>
      <c r="D52" s="106">
        <f>IF(C51/D51-1&gt;0,0,C51/D51-1)*-1</f>
        <v>0.4200094928807887</v>
      </c>
      <c r="E52" s="46"/>
    </row>
    <row r="53" spans="1:17" x14ac:dyDescent="0.2">
      <c r="A53" s="45"/>
      <c r="B53" s="46" t="s">
        <v>12</v>
      </c>
      <c r="C53" s="46"/>
      <c r="D53" s="50">
        <f>IF(C51/D51-1&lt;0,0,C51/D51-1)</f>
        <v>0</v>
      </c>
      <c r="E53" s="46"/>
    </row>
    <row r="54" spans="1:17" x14ac:dyDescent="0.2">
      <c r="A54" s="46"/>
      <c r="B54" s="46"/>
      <c r="C54" s="46"/>
      <c r="D54" s="48"/>
      <c r="E54" s="48"/>
    </row>
    <row r="55" spans="1:17" x14ac:dyDescent="0.2">
      <c r="A55" s="48" t="s">
        <v>17</v>
      </c>
      <c r="B55" s="46"/>
      <c r="C55" s="50">
        <f>D46</f>
        <v>6.3858999999999999E-2</v>
      </c>
      <c r="D55" s="49"/>
      <c r="E55" s="46"/>
      <c r="J55" s="68"/>
    </row>
    <row r="56" spans="1:17" x14ac:dyDescent="0.2">
      <c r="A56" s="48"/>
      <c r="B56" s="46"/>
      <c r="C56" s="50"/>
      <c r="D56" s="49"/>
      <c r="E56" s="46"/>
    </row>
    <row r="57" spans="1:17" hidden="1" x14ac:dyDescent="0.2">
      <c r="A57" s="48" t="s">
        <v>20</v>
      </c>
      <c r="B57" s="71">
        <v>0.108</v>
      </c>
      <c r="C57" s="50"/>
      <c r="D57" s="72">
        <f>SUM(H57:Q57)*1000</f>
        <v>603902.81813833897</v>
      </c>
      <c r="E57" s="46"/>
      <c r="F57" s="1" t="s">
        <v>21</v>
      </c>
      <c r="H57" s="1">
        <f>G15/(1+$B$57)</f>
        <v>39.205776173285194</v>
      </c>
      <c r="I57" s="1">
        <f>H15/(1+$B$57)^2</f>
        <v>36.817891540356314</v>
      </c>
      <c r="J57" s="1">
        <f>I15/(1+$B$57)^3</f>
        <v>35.787494013460936</v>
      </c>
      <c r="K57" s="1">
        <f>J15/(1+$B$57)^4</f>
        <v>35.779147105523137</v>
      </c>
      <c r="L57" s="1">
        <f>K15/(1+$B$57)^5</f>
        <v>34.202878952748797</v>
      </c>
      <c r="M57" s="1">
        <f>L15/(1+$B$57)^6</f>
        <v>32.695543274810909</v>
      </c>
      <c r="N57" s="1">
        <f>M15/(1+$B$57)^7</f>
        <v>31.106028141187288</v>
      </c>
      <c r="O57" s="1">
        <f>N15/(1+$B$57)^8</f>
        <v>29.31149193852092</v>
      </c>
      <c r="P57" s="1">
        <f>O15/(1+$B$57)^9</f>
        <v>27.620062772619129</v>
      </c>
      <c r="Q57" s="1">
        <f>(Q15/(B57-Q12))/(1+B57)^10</f>
        <v>301.37650422582635</v>
      </c>
    </row>
    <row r="58" spans="1:17" ht="17" thickBot="1" x14ac:dyDescent="0.25">
      <c r="A58" s="22"/>
      <c r="C58" s="63"/>
      <c r="D58" s="64"/>
    </row>
    <row r="59" spans="1:17" x14ac:dyDescent="0.2">
      <c r="A59" s="57" t="str">
        <f>"KGV Multiple in "&amp;P10</f>
        <v>KGV Multiple in 2033</v>
      </c>
      <c r="B59" s="23"/>
      <c r="C59" s="65">
        <v>19</v>
      </c>
      <c r="D59" s="23"/>
      <c r="E59" s="24"/>
    </row>
    <row r="60" spans="1:17" x14ac:dyDescent="0.2">
      <c r="A60" s="25" t="s">
        <v>19</v>
      </c>
      <c r="C60" s="66"/>
      <c r="E60" s="26"/>
    </row>
    <row r="61" spans="1:17" x14ac:dyDescent="0.2">
      <c r="A61" s="25"/>
      <c r="C61" s="66"/>
      <c r="E61" s="26"/>
    </row>
    <row r="62" spans="1:17" x14ac:dyDescent="0.2">
      <c r="A62" s="25" t="s">
        <v>34</v>
      </c>
      <c r="C62" s="66"/>
      <c r="E62" s="58">
        <f>P17*C59</f>
        <v>6525.9821714760656</v>
      </c>
    </row>
    <row r="63" spans="1:17" x14ac:dyDescent="0.2">
      <c r="A63" s="25"/>
      <c r="C63" s="66"/>
      <c r="E63" s="26"/>
    </row>
    <row r="64" spans="1:17" x14ac:dyDescent="0.2">
      <c r="A64" s="25" t="s">
        <v>15</v>
      </c>
      <c r="C64" s="67">
        <v>0.35</v>
      </c>
      <c r="E64" s="26"/>
    </row>
    <row r="65" spans="1:5" x14ac:dyDescent="0.2">
      <c r="A65" s="25"/>
      <c r="E65" s="26"/>
    </row>
    <row r="66" spans="1:5" x14ac:dyDescent="0.2">
      <c r="A66" s="25" t="s">
        <v>16</v>
      </c>
      <c r="E66" s="58">
        <f>SUM(G17:Q17)*C64</f>
        <v>910.6826262585181</v>
      </c>
    </row>
    <row r="67" spans="1:5" x14ac:dyDescent="0.2">
      <c r="A67" s="25"/>
      <c r="E67" s="59"/>
    </row>
    <row r="68" spans="1:5" x14ac:dyDescent="0.2">
      <c r="A68" s="100" t="s">
        <v>41</v>
      </c>
      <c r="E68" s="101">
        <f>(E66*0.15)*-1</f>
        <v>-136.60239393877771</v>
      </c>
    </row>
    <row r="69" spans="1:5" x14ac:dyDescent="0.2">
      <c r="A69" s="25"/>
      <c r="C69" s="41"/>
      <c r="D69" s="41"/>
      <c r="E69" s="60"/>
    </row>
    <row r="70" spans="1:5" x14ac:dyDescent="0.2">
      <c r="A70" s="25" t="str">
        <f>"Gesamtwert "&amp;P10</f>
        <v>Gesamtwert 2033</v>
      </c>
      <c r="E70" s="58">
        <f>SUM(E62:E68)</f>
        <v>7300.0624037958059</v>
      </c>
    </row>
    <row r="71" spans="1:5" x14ac:dyDescent="0.2">
      <c r="A71" s="25"/>
      <c r="E71" s="58"/>
    </row>
    <row r="72" spans="1:5" x14ac:dyDescent="0.2">
      <c r="A72" s="25" t="str">
        <f>"Steigerung Gesamt bis "&amp;P10&amp;" in Prozent"</f>
        <v>Steigerung Gesamt bis 2033 in Prozent</v>
      </c>
      <c r="E72" s="60">
        <f>E70/C51-1</f>
        <v>1.3050402285430396</v>
      </c>
    </row>
    <row r="73" spans="1:5" x14ac:dyDescent="0.2">
      <c r="A73" s="25"/>
      <c r="E73" s="26"/>
    </row>
    <row r="74" spans="1:5" ht="17" thickBot="1" x14ac:dyDescent="0.25">
      <c r="A74" s="61" t="str">
        <f>"Renditeerwartung bis "&amp;P10&amp;" pro Jahr"</f>
        <v>Renditeerwartung bis 2033 pro Jahr</v>
      </c>
      <c r="B74" s="62"/>
      <c r="C74" s="62"/>
      <c r="D74" s="62"/>
      <c r="E74" s="102">
        <f>(E70/C51)^(1/10)-1</f>
        <v>8.7095882806605074E-2</v>
      </c>
    </row>
    <row r="75" spans="1:5" x14ac:dyDescent="0.2"/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7" priority="5" percent="1" rank="10"/>
  </conditionalFormatting>
  <conditionalFormatting sqref="K9">
    <cfRule type="top10" dxfId="6" priority="4" percent="1" rank="10"/>
  </conditionalFormatting>
  <conditionalFormatting sqref="L2:L5">
    <cfRule type="top10" dxfId="5" priority="3" percent="1" rank="10"/>
  </conditionalFormatting>
  <conditionalFormatting sqref="L6:L8">
    <cfRule type="top10" dxfId="4" priority="6" percent="1" rank="10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52E19-683E-48EC-9C64-69D5A2053526}">
  <dimension ref="A1:AB75"/>
  <sheetViews>
    <sheetView zoomScaleNormal="100" workbookViewId="0"/>
  </sheetViews>
  <sheetFormatPr baseColWidth="10" defaultColWidth="0" defaultRowHeight="16" zeroHeight="1" x14ac:dyDescent="0.2"/>
  <cols>
    <col min="1" max="1" width="27" style="1" bestFit="1" customWidth="1"/>
    <col min="2" max="2" width="32.33203125" style="1" customWidth="1"/>
    <col min="3" max="17" width="16.1640625" style="1" customWidth="1"/>
    <col min="18" max="18" width="10.5" style="1" customWidth="1"/>
    <col min="19" max="28" width="0" style="1" hidden="1" customWidth="1"/>
    <col min="29" max="16384" width="10.5" style="1" hidden="1"/>
  </cols>
  <sheetData>
    <row r="1" spans="1:28" x14ac:dyDescent="0.2"/>
    <row r="2" spans="1:28" ht="26" x14ac:dyDescent="0.3">
      <c r="B2" s="31" t="s">
        <v>9</v>
      </c>
    </row>
    <row r="3" spans="1:28" x14ac:dyDescent="0.2"/>
    <row r="4" spans="1:28" x14ac:dyDescent="0.2">
      <c r="B4" s="22" t="str">
        <f>Pessimistisch!B4</f>
        <v>Annahmen für TIS INTEC</v>
      </c>
    </row>
    <row r="5" spans="1:28" x14ac:dyDescent="0.2"/>
    <row r="6" spans="1:28" x14ac:dyDescent="0.2">
      <c r="B6" s="1" t="str">
        <f>Pessimistisch!B6</f>
        <v>Alle Angaben in Mrd.</v>
      </c>
    </row>
    <row r="7" spans="1:28" x14ac:dyDescent="0.2"/>
    <row r="8" spans="1:28" x14ac:dyDescent="0.2"/>
    <row r="9" spans="1:28" s="8" customFormat="1" x14ac:dyDescent="0.2">
      <c r="G9" s="9" t="s">
        <v>8</v>
      </c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">
      <c r="A10" s="4"/>
      <c r="B10" s="4"/>
      <c r="C10" s="11">
        <f>Pessimistisch!C10</f>
        <v>2020</v>
      </c>
      <c r="D10" s="11">
        <f>Pessimistisch!D10</f>
        <v>2021</v>
      </c>
      <c r="E10" s="11">
        <f>Pessimistisch!E10</f>
        <v>2022</v>
      </c>
      <c r="F10" s="11">
        <f>Pessimistisch!F10</f>
        <v>2023</v>
      </c>
      <c r="G10" s="55">
        <f>Pessimistisch!G10</f>
        <v>2024</v>
      </c>
      <c r="H10" s="55">
        <f>Pessimistisch!H10</f>
        <v>2025</v>
      </c>
      <c r="I10" s="55">
        <f>Pessimistisch!I10</f>
        <v>2026</v>
      </c>
      <c r="J10" s="55">
        <f>Pessimistisch!J10</f>
        <v>2027</v>
      </c>
      <c r="K10" s="55">
        <f>Pessimistisch!K10</f>
        <v>2028</v>
      </c>
      <c r="L10" s="55">
        <f>Pessimistisch!L10</f>
        <v>2029</v>
      </c>
      <c r="M10" s="55">
        <f>Pessimistisch!M10</f>
        <v>2030</v>
      </c>
      <c r="N10" s="55">
        <f>Pessimistisch!N10</f>
        <v>2031</v>
      </c>
      <c r="O10" s="55">
        <f>Pessimistisch!O10</f>
        <v>2032</v>
      </c>
      <c r="P10" s="55">
        <f>Pessimistisch!P10</f>
        <v>2033</v>
      </c>
      <c r="Q10" s="55" t="str">
        <f>Pessimistisch!Q10</f>
        <v>2034ff.</v>
      </c>
    </row>
    <row r="11" spans="1:28" x14ac:dyDescent="0.2">
      <c r="A11" s="5"/>
      <c r="B11" s="4" t="s">
        <v>4</v>
      </c>
      <c r="C11" s="80">
        <f>Pessimistisch!C11</f>
        <v>443.77199999999999</v>
      </c>
      <c r="D11" s="80">
        <f>Pessimistisch!D11</f>
        <v>448.38299999999998</v>
      </c>
      <c r="E11" s="80">
        <f>Pessimistisch!E11</f>
        <v>482.54700000000003</v>
      </c>
      <c r="F11" s="80">
        <f>Pessimistisch!F11</f>
        <v>508.4</v>
      </c>
      <c r="G11" s="70">
        <f>F11*(1+G12)</f>
        <v>512.7213999999999</v>
      </c>
      <c r="H11" s="70">
        <f t="shared" ref="H11:J11" si="0">G11*(1+H12)</f>
        <v>517.07953189999989</v>
      </c>
      <c r="I11" s="70">
        <f t="shared" si="0"/>
        <v>521.47470792114984</v>
      </c>
      <c r="J11" s="70">
        <f t="shared" si="0"/>
        <v>525.90724293847961</v>
      </c>
      <c r="K11" s="70">
        <f>J11*(1+K12)</f>
        <v>530.37745450345665</v>
      </c>
      <c r="L11" s="70">
        <f t="shared" ref="L11:Q11" si="1">K11*(1+L12)</f>
        <v>534.88566286673597</v>
      </c>
      <c r="M11" s="70">
        <f t="shared" si="1"/>
        <v>539.43219100110321</v>
      </c>
      <c r="N11" s="70">
        <f t="shared" si="1"/>
        <v>544.01736462461258</v>
      </c>
      <c r="O11" s="70">
        <f t="shared" si="1"/>
        <v>548.64151222392172</v>
      </c>
      <c r="P11" s="70">
        <f t="shared" si="1"/>
        <v>553.30496507782505</v>
      </c>
      <c r="Q11" s="70">
        <f t="shared" si="1"/>
        <v>558.00805728098658</v>
      </c>
    </row>
    <row r="12" spans="1:28" x14ac:dyDescent="0.2">
      <c r="A12" s="5"/>
      <c r="B12" s="4" t="s">
        <v>1</v>
      </c>
      <c r="C12" s="84"/>
      <c r="D12" s="87">
        <f>D11/C11-1</f>
        <v>1.0390470782293493E-2</v>
      </c>
      <c r="E12" s="87">
        <f>E11/D11-1</f>
        <v>7.6193789684265489E-2</v>
      </c>
      <c r="F12" s="87">
        <f>F11/E11-1</f>
        <v>5.3576128335685258E-2</v>
      </c>
      <c r="G12" s="83">
        <v>8.5000000000000006E-3</v>
      </c>
      <c r="H12" s="83">
        <f>G12</f>
        <v>8.5000000000000006E-3</v>
      </c>
      <c r="I12" s="83">
        <f t="shared" ref="I12:P12" si="2">H12</f>
        <v>8.5000000000000006E-3</v>
      </c>
      <c r="J12" s="83">
        <f t="shared" si="2"/>
        <v>8.5000000000000006E-3</v>
      </c>
      <c r="K12" s="83">
        <f t="shared" si="2"/>
        <v>8.5000000000000006E-3</v>
      </c>
      <c r="L12" s="83">
        <f t="shared" si="2"/>
        <v>8.5000000000000006E-3</v>
      </c>
      <c r="M12" s="83">
        <f t="shared" si="2"/>
        <v>8.5000000000000006E-3</v>
      </c>
      <c r="N12" s="83">
        <f t="shared" si="2"/>
        <v>8.5000000000000006E-3</v>
      </c>
      <c r="O12" s="83">
        <f t="shared" si="2"/>
        <v>8.5000000000000006E-3</v>
      </c>
      <c r="P12" s="83">
        <f t="shared" si="2"/>
        <v>8.5000000000000006E-3</v>
      </c>
      <c r="Q12" s="83">
        <v>8.5000000000000006E-3</v>
      </c>
    </row>
    <row r="13" spans="1:28" ht="16" customHeight="1" x14ac:dyDescent="0.2">
      <c r="A13" s="5"/>
      <c r="B13" s="4" t="s">
        <v>13</v>
      </c>
      <c r="C13" s="86">
        <f>C14/C11</f>
        <v>0.10104062446481527</v>
      </c>
      <c r="D13" s="86">
        <f t="shared" ref="D13:F13" si="3">D14/D11</f>
        <v>0.10202884587506662</v>
      </c>
      <c r="E13" s="86">
        <f t="shared" si="3"/>
        <v>0.11343765477766932</v>
      </c>
      <c r="F13" s="86">
        <f t="shared" si="3"/>
        <v>0.12259638080251771</v>
      </c>
      <c r="G13" s="82">
        <f>Pessimistisch!G13</f>
        <v>0.12140104441958649</v>
      </c>
      <c r="H13" s="82">
        <f>Pessimistisch!H13</f>
        <v>0.12149433403889333</v>
      </c>
      <c r="I13" s="82">
        <f>Pessimistisch!I13</f>
        <v>0.12529780985253763</v>
      </c>
      <c r="J13" s="82">
        <f>(Pessimistisch!J13+Optimistisch!J13)/2</f>
        <v>0.1255</v>
      </c>
      <c r="K13" s="82">
        <f>(Pessimistisch!K13+Optimistisch!K13)/2</f>
        <v>0.1245</v>
      </c>
      <c r="L13" s="82">
        <f>(Pessimistisch!L13+Optimistisch!L13)/2</f>
        <v>0.1235</v>
      </c>
      <c r="M13" s="82">
        <f>(Pessimistisch!M13+Optimistisch!M13)/2</f>
        <v>0.12375</v>
      </c>
      <c r="N13" s="82">
        <f>(Pessimistisch!N13+Optimistisch!N13)/2</f>
        <v>0.124</v>
      </c>
      <c r="O13" s="82">
        <f>(Pessimistisch!O13+Optimistisch!O13)/2</f>
        <v>0.123</v>
      </c>
      <c r="P13" s="82">
        <f>(Pessimistisch!P13+Optimistisch!P13)/2</f>
        <v>0.12325</v>
      </c>
      <c r="Q13" s="82">
        <f>(Pessimistisch!Q13+Optimistisch!Q13)/2</f>
        <v>0.12225</v>
      </c>
    </row>
    <row r="14" spans="1:28" ht="17.25" customHeight="1" x14ac:dyDescent="0.2">
      <c r="A14" s="5"/>
      <c r="B14" s="4" t="s">
        <v>14</v>
      </c>
      <c r="C14" s="80">
        <f>Pessimistisch!C14</f>
        <v>44.838999999999999</v>
      </c>
      <c r="D14" s="80">
        <f>Pessimistisch!D14</f>
        <v>45.747999999999998</v>
      </c>
      <c r="E14" s="80">
        <f>Pessimistisch!E14</f>
        <v>54.738999999999997</v>
      </c>
      <c r="F14" s="80">
        <f>Pessimistisch!F14</f>
        <v>62.328000000000003</v>
      </c>
      <c r="G14" s="70">
        <f t="shared" ref="G14:J14" si="4">G11*G13</f>
        <v>62.244913456272563</v>
      </c>
      <c r="H14" s="70">
        <f t="shared" si="4"/>
        <v>62.822233373333184</v>
      </c>
      <c r="I14" s="70">
        <f t="shared" si="4"/>
        <v>65.33963879601184</v>
      </c>
      <c r="J14" s="70">
        <f t="shared" si="4"/>
        <v>66.001358988779188</v>
      </c>
      <c r="K14" s="70">
        <f t="shared" ref="K14:Q14" si="5">K11*K13</f>
        <v>66.031993085680355</v>
      </c>
      <c r="L14" s="70">
        <f t="shared" si="5"/>
        <v>66.058379364041897</v>
      </c>
      <c r="M14" s="70">
        <f t="shared" si="5"/>
        <v>66.754733636386518</v>
      </c>
      <c r="N14" s="70">
        <f t="shared" si="5"/>
        <v>67.458153213451965</v>
      </c>
      <c r="O14" s="70">
        <f>O11*O13</f>
        <v>67.482906003542368</v>
      </c>
      <c r="P14" s="70">
        <f t="shared" si="5"/>
        <v>68.194836945841942</v>
      </c>
      <c r="Q14" s="70">
        <f t="shared" si="5"/>
        <v>68.216485002600606</v>
      </c>
    </row>
    <row r="15" spans="1:28" x14ac:dyDescent="0.2">
      <c r="A15" s="98">
        <v>0.35</v>
      </c>
      <c r="B15" s="4" t="s">
        <v>36</v>
      </c>
      <c r="C15" s="80">
        <f>Pessimistisch!C15</f>
        <v>29.411000000000001</v>
      </c>
      <c r="D15" s="80">
        <f>Pessimistisch!D15</f>
        <v>27.692</v>
      </c>
      <c r="E15" s="80">
        <f>Pessimistisch!E15</f>
        <v>39.462000000000003</v>
      </c>
      <c r="F15" s="80">
        <f>Pessimistisch!F15</f>
        <v>55.460999999999999</v>
      </c>
      <c r="G15" s="70">
        <f>Pessimistisch!G15</f>
        <v>43.44</v>
      </c>
      <c r="H15" s="70">
        <f>Pessimistisch!H15</f>
        <v>45.2</v>
      </c>
      <c r="I15" s="70">
        <f>Pessimistisch!I15</f>
        <v>48.68</v>
      </c>
      <c r="J15" s="70">
        <f>J14*(1-$A$15)</f>
        <v>42.900883342706472</v>
      </c>
      <c r="K15" s="70">
        <f>K14*(1-$A$15)</f>
        <v>42.920795505692233</v>
      </c>
      <c r="L15" s="70">
        <f t="shared" ref="L15:Q15" si="6">L14*(1-$A$15)</f>
        <v>42.937946586627234</v>
      </c>
      <c r="M15" s="70">
        <f t="shared" si="6"/>
        <v>43.390576863651241</v>
      </c>
      <c r="N15" s="70">
        <f t="shared" si="6"/>
        <v>43.847799588743776</v>
      </c>
      <c r="O15" s="70">
        <f>O14*(1-$A$15)</f>
        <v>43.863888902302541</v>
      </c>
      <c r="P15" s="70">
        <f t="shared" si="6"/>
        <v>44.326644014797267</v>
      </c>
      <c r="Q15" s="70">
        <f t="shared" si="6"/>
        <v>44.340715251690398</v>
      </c>
    </row>
    <row r="16" spans="1:28" ht="22" hidden="1" thickBot="1" x14ac:dyDescent="0.25">
      <c r="A16" s="13" t="s">
        <v>5</v>
      </c>
      <c r="B16" s="14"/>
      <c r="C16" s="15">
        <f t="shared" ref="C16:J16" si="7">C15/C14</f>
        <v>0.65592452998505768</v>
      </c>
      <c r="D16" s="15">
        <f t="shared" si="7"/>
        <v>0.60531607939144882</v>
      </c>
      <c r="E16" s="15">
        <f t="shared" si="7"/>
        <v>0.7209119640475713</v>
      </c>
      <c r="F16" s="15">
        <f t="shared" si="7"/>
        <v>0.88982479784366575</v>
      </c>
      <c r="G16" s="15">
        <f t="shared" si="7"/>
        <v>0.69788835083716305</v>
      </c>
      <c r="H16" s="15">
        <f t="shared" si="7"/>
        <v>0.71949049839394164</v>
      </c>
      <c r="I16" s="15">
        <f t="shared" si="7"/>
        <v>0.7450301363308317</v>
      </c>
      <c r="J16" s="15">
        <f t="shared" si="7"/>
        <v>0.65</v>
      </c>
    </row>
    <row r="17" spans="1:18" ht="17" x14ac:dyDescent="0.2">
      <c r="A17" s="2" t="s">
        <v>33</v>
      </c>
      <c r="C17" s="80"/>
      <c r="D17" s="80"/>
      <c r="E17" s="80"/>
      <c r="F17" s="80"/>
      <c r="G17" s="70">
        <f>G15/G18</f>
        <v>180.30124926975191</v>
      </c>
      <c r="H17" s="70">
        <f t="shared" ref="H17:O17" si="8">H15/H18</f>
        <v>188.54901734715907</v>
      </c>
      <c r="I17" s="70">
        <f t="shared" si="8"/>
        <v>204.08605337438749</v>
      </c>
      <c r="J17" s="70">
        <f t="shared" si="8"/>
        <v>180.76148961091334</v>
      </c>
      <c r="K17" s="70">
        <f t="shared" si="8"/>
        <v>181.75415966637539</v>
      </c>
      <c r="L17" s="70">
        <f t="shared" si="8"/>
        <v>182.74049079055629</v>
      </c>
      <c r="M17" s="70">
        <f t="shared" si="8"/>
        <v>185.59482342141197</v>
      </c>
      <c r="N17" s="70">
        <f t="shared" si="8"/>
        <v>188.4929702909802</v>
      </c>
      <c r="O17" s="70">
        <f t="shared" si="8"/>
        <v>189.50968346757804</v>
      </c>
      <c r="P17" s="70">
        <f>P15/P18</f>
        <v>192.47132875370116</v>
      </c>
      <c r="Q17" s="70"/>
    </row>
    <row r="18" spans="1:18" ht="35" thickBot="1" x14ac:dyDescent="0.25">
      <c r="A18" s="2" t="s">
        <v>35</v>
      </c>
      <c r="C18" s="105">
        <v>0.995</v>
      </c>
      <c r="D18" s="80"/>
      <c r="E18" s="80"/>
      <c r="F18" s="80"/>
      <c r="G18" s="70">
        <f>C50</f>
        <v>0.240930111</v>
      </c>
      <c r="H18" s="70">
        <f>G18*$C$18</f>
        <v>0.23972546044500001</v>
      </c>
      <c r="I18" s="70">
        <f t="shared" ref="I18:P18" si="9">H18*$C$18</f>
        <v>0.23852683314277501</v>
      </c>
      <c r="J18" s="70">
        <f t="shared" si="9"/>
        <v>0.23733419897706112</v>
      </c>
      <c r="K18" s="70">
        <f t="shared" si="9"/>
        <v>0.23614752798217581</v>
      </c>
      <c r="L18" s="70">
        <f t="shared" si="9"/>
        <v>0.23496679034226492</v>
      </c>
      <c r="M18" s="70">
        <f t="shared" si="9"/>
        <v>0.23379195639055358</v>
      </c>
      <c r="N18" s="70">
        <f t="shared" si="9"/>
        <v>0.23262299660860081</v>
      </c>
      <c r="O18" s="70">
        <f t="shared" si="9"/>
        <v>0.23145988162555781</v>
      </c>
      <c r="P18" s="70">
        <f t="shared" si="9"/>
        <v>0.23030258221743002</v>
      </c>
      <c r="Q18" s="70"/>
    </row>
    <row r="19" spans="1:18" ht="17" thickBot="1" x14ac:dyDescent="0.25">
      <c r="A19" s="2"/>
      <c r="E19" s="51" t="s">
        <v>10</v>
      </c>
      <c r="F19" s="52"/>
      <c r="G19" s="53">
        <f>G15/(1+$C$55)</f>
        <v>40.832478740133801</v>
      </c>
      <c r="H19" s="53">
        <f>H15/(1+$C$55)^2</f>
        <v>39.936526655841867</v>
      </c>
      <c r="I19" s="53">
        <f>I15/(1+$C$55)^3</f>
        <v>40.42949844645937</v>
      </c>
      <c r="J19" s="53">
        <f>J15/(1+$C$55)^4</f>
        <v>33.491141234419153</v>
      </c>
      <c r="K19" s="53">
        <f>K15/(1+$C$55)^5</f>
        <v>31.495419907583834</v>
      </c>
      <c r="L19" s="53">
        <f>L15/(1+$C$55)^6</f>
        <v>29.61671182627007</v>
      </c>
      <c r="M19" s="53">
        <f>M15/(1+$C$55)^7</f>
        <v>28.132408838045116</v>
      </c>
      <c r="N19" s="53">
        <f>N15/(1+$C$55)^8</f>
        <v>26.722385714746213</v>
      </c>
      <c r="O19" s="53">
        <f>O15/(1+$C$55)^9</f>
        <v>25.127569636839695</v>
      </c>
      <c r="P19" s="53">
        <f>P15/(1+$C$55)^10</f>
        <v>23.868445338413039</v>
      </c>
      <c r="Q19" s="54">
        <f>(Q15/(C55-Q12))/(1+C55)^10</f>
        <v>431.29431959399255</v>
      </c>
    </row>
    <row r="20" spans="1:18" x14ac:dyDescent="0.2">
      <c r="A20" s="2"/>
      <c r="C20" s="73"/>
      <c r="D20" s="42"/>
      <c r="G20" s="6"/>
      <c r="H20" s="7"/>
      <c r="I20" s="6"/>
      <c r="J20" s="6"/>
      <c r="K20" s="6"/>
      <c r="L20" s="6"/>
      <c r="M20" s="6"/>
      <c r="N20" s="6"/>
      <c r="O20" s="6"/>
      <c r="P20" s="3"/>
      <c r="Q20" s="3"/>
      <c r="R20" s="3"/>
    </row>
    <row r="21" spans="1:18" x14ac:dyDescent="0.2">
      <c r="A21" s="2"/>
      <c r="J21" s="99"/>
      <c r="K21" s="99"/>
      <c r="L21" s="99"/>
      <c r="M21" s="99"/>
      <c r="N21" s="99"/>
      <c r="O21" s="99"/>
      <c r="P21" s="99"/>
      <c r="Q21" s="99"/>
      <c r="R21" s="3"/>
    </row>
    <row r="22" spans="1:18" ht="17" thickBot="1" x14ac:dyDescent="0.25">
      <c r="P22" s="3"/>
      <c r="Q22" s="3"/>
      <c r="R22" s="3"/>
    </row>
    <row r="23" spans="1:18" x14ac:dyDescent="0.2">
      <c r="A23" s="32" t="s">
        <v>22</v>
      </c>
      <c r="B23" s="33"/>
      <c r="C23" s="33"/>
      <c r="D23" s="34"/>
      <c r="E23" s="23"/>
      <c r="F23" s="33"/>
      <c r="G23" s="57" t="s">
        <v>23</v>
      </c>
      <c r="H23" s="23"/>
      <c r="I23" s="76">
        <f>Pessimistisch!I23</f>
        <v>8.5900000000000004E-3</v>
      </c>
      <c r="J23" s="24" t="s">
        <v>24</v>
      </c>
    </row>
    <row r="24" spans="1:18" x14ac:dyDescent="0.2">
      <c r="A24" s="35"/>
      <c r="B24" s="36"/>
      <c r="C24" s="36"/>
      <c r="D24" s="37"/>
      <c r="E24" s="36"/>
      <c r="F24" s="36"/>
      <c r="G24" s="25"/>
      <c r="I24" s="77"/>
      <c r="J24" s="26"/>
    </row>
    <row r="25" spans="1:18" x14ac:dyDescent="0.2">
      <c r="A25" s="35"/>
      <c r="B25" s="36"/>
      <c r="C25" s="36"/>
      <c r="D25" s="38"/>
      <c r="F25" s="36"/>
      <c r="G25" s="25" t="s">
        <v>25</v>
      </c>
      <c r="I25" s="78">
        <f>(I27-I23)*I29</f>
        <v>5.5269000000000006E-2</v>
      </c>
      <c r="J25" s="26"/>
    </row>
    <row r="26" spans="1:18" x14ac:dyDescent="0.2">
      <c r="A26" s="35"/>
      <c r="B26" s="36"/>
      <c r="C26" s="36"/>
      <c r="D26" s="38"/>
      <c r="F26" s="36"/>
      <c r="G26" s="25"/>
      <c r="I26" s="77"/>
      <c r="J26" s="26"/>
    </row>
    <row r="27" spans="1:18" x14ac:dyDescent="0.2">
      <c r="A27" s="35"/>
      <c r="B27" s="36"/>
      <c r="C27" s="36"/>
      <c r="D27" s="38"/>
      <c r="F27" s="36"/>
      <c r="G27" s="25" t="s">
        <v>26</v>
      </c>
      <c r="I27" s="79">
        <v>7.0000000000000007E-2</v>
      </c>
      <c r="J27" s="26" t="s">
        <v>27</v>
      </c>
    </row>
    <row r="28" spans="1:18" x14ac:dyDescent="0.2">
      <c r="A28" s="35"/>
      <c r="B28" s="36"/>
      <c r="C28" s="36"/>
      <c r="D28" s="39"/>
      <c r="F28" s="36"/>
      <c r="G28" s="25"/>
      <c r="I28" s="77"/>
      <c r="J28" s="26"/>
    </row>
    <row r="29" spans="1:18" x14ac:dyDescent="0.2">
      <c r="A29" s="35"/>
      <c r="B29" s="36"/>
      <c r="C29" s="36"/>
      <c r="D29" s="39"/>
      <c r="F29" s="36"/>
      <c r="G29" s="25" t="s">
        <v>32</v>
      </c>
      <c r="I29" s="77">
        <f>Pessimistisch!I29</f>
        <v>0.9</v>
      </c>
      <c r="J29" s="26" t="s">
        <v>28</v>
      </c>
    </row>
    <row r="30" spans="1:18" x14ac:dyDescent="0.2">
      <c r="A30" s="35"/>
      <c r="B30" s="36"/>
      <c r="C30" s="36"/>
      <c r="D30" s="40"/>
      <c r="F30" s="36"/>
      <c r="G30" s="25"/>
      <c r="I30" s="77"/>
      <c r="J30" s="26"/>
    </row>
    <row r="31" spans="1:18" x14ac:dyDescent="0.2">
      <c r="A31" s="35"/>
      <c r="B31" s="36"/>
      <c r="C31" s="36"/>
      <c r="D31" s="37"/>
      <c r="F31" s="36"/>
      <c r="G31" s="25" t="s">
        <v>29</v>
      </c>
      <c r="I31" s="79">
        <f>I23+(I27-I23)*I29</f>
        <v>6.3858999999999999E-2</v>
      </c>
      <c r="J31" s="26" t="s">
        <v>30</v>
      </c>
    </row>
    <row r="32" spans="1:18" x14ac:dyDescent="0.2">
      <c r="A32" s="25"/>
      <c r="C32" s="41"/>
      <c r="E32" s="36"/>
      <c r="F32" s="36"/>
      <c r="G32" s="25"/>
      <c r="J32" s="26"/>
    </row>
    <row r="33" spans="1:10" x14ac:dyDescent="0.2">
      <c r="A33" s="25"/>
      <c r="G33" s="74" t="s">
        <v>31</v>
      </c>
      <c r="H33" s="22"/>
      <c r="I33" s="75">
        <f>I31</f>
        <v>6.3858999999999999E-2</v>
      </c>
      <c r="J33" s="26"/>
    </row>
    <row r="34" spans="1:10" x14ac:dyDescent="0.2">
      <c r="A34" s="35" t="s">
        <v>6</v>
      </c>
      <c r="B34" s="36"/>
      <c r="C34" s="42"/>
      <c r="D34" s="27"/>
      <c r="G34" s="25"/>
      <c r="J34" s="26"/>
    </row>
    <row r="35" spans="1:10" ht="15.75" hidden="1" customHeight="1" x14ac:dyDescent="0.2">
      <c r="A35" s="25"/>
      <c r="G35" s="25"/>
      <c r="J35" s="26"/>
    </row>
    <row r="36" spans="1:10" ht="15.75" hidden="1" customHeight="1" x14ac:dyDescent="0.2">
      <c r="A36" s="25"/>
      <c r="B36" s="1" t="s">
        <v>7</v>
      </c>
      <c r="D36" s="43">
        <v>0.08</v>
      </c>
      <c r="G36" s="25"/>
      <c r="J36" s="26"/>
    </row>
    <row r="37" spans="1:10" ht="15.75" hidden="1" customHeight="1" x14ac:dyDescent="0.2">
      <c r="A37" s="25"/>
      <c r="G37" s="25"/>
      <c r="J37" s="26"/>
    </row>
    <row r="38" spans="1:10" ht="15.75" hidden="1" customHeight="1" x14ac:dyDescent="0.2">
      <c r="A38" s="25"/>
      <c r="G38" s="25"/>
      <c r="J38" s="26"/>
    </row>
    <row r="39" spans="1:10" ht="15.75" hidden="1" customHeight="1" x14ac:dyDescent="0.2">
      <c r="A39" s="25"/>
      <c r="G39" s="25"/>
      <c r="J39" s="26"/>
    </row>
    <row r="40" spans="1:10" hidden="1" x14ac:dyDescent="0.2">
      <c r="A40" s="25"/>
      <c r="B40" s="41"/>
      <c r="C40" s="41">
        <v>0.12</v>
      </c>
      <c r="D40" s="41" t="e">
        <f>((NPV(C40,$G$15:$Q$15)+(#REF!*(1+#REF!)/(C40-#REF!))/(1+C40)^(2040-2020))/$D$50)/$C$51-1</f>
        <v>#REF!</v>
      </c>
      <c r="G40" s="25"/>
      <c r="J40" s="26"/>
    </row>
    <row r="41" spans="1:10" hidden="1" x14ac:dyDescent="0.2">
      <c r="A41" s="25"/>
      <c r="B41" s="41"/>
      <c r="C41" s="41">
        <v>0.14000000000000001</v>
      </c>
      <c r="D41" s="41" t="e">
        <f>((NPV(C41,$G$15:$Q$15)+(#REF!*(1+#REF!)/(C41-#REF!))/(1+C41)^(2040-2020))/$D$50)/$C$51-1</f>
        <v>#REF!</v>
      </c>
      <c r="G41" s="25"/>
      <c r="J41" s="26"/>
    </row>
    <row r="42" spans="1:10" hidden="1" x14ac:dyDescent="0.2">
      <c r="A42" s="25"/>
      <c r="B42" s="41"/>
      <c r="C42" s="41">
        <v>0.16</v>
      </c>
      <c r="D42" s="41" t="e">
        <f>((NPV(C42,$G$15:$Q$15)+(#REF!*(1+#REF!)/(C42-#REF!))/(1+C42)^(2040-2020))/$D$50)/$C$51-1</f>
        <v>#REF!</v>
      </c>
      <c r="G42" s="25"/>
      <c r="J42" s="26"/>
    </row>
    <row r="43" spans="1:10" hidden="1" x14ac:dyDescent="0.2">
      <c r="A43" s="25"/>
      <c r="B43" s="41"/>
      <c r="C43" s="41">
        <v>0.18</v>
      </c>
      <c r="D43" s="41" t="e">
        <f>((NPV(C43,$G$15:$Q$15)+(#REF!*(1+#REF!)/(C43-#REF!))/(1+C43)^(2040-2020))/$D$50)/$C$51-1</f>
        <v>#REF!</v>
      </c>
      <c r="G43" s="25"/>
      <c r="J43" s="26"/>
    </row>
    <row r="44" spans="1:10" hidden="1" x14ac:dyDescent="0.2">
      <c r="A44" s="25"/>
      <c r="B44" s="41"/>
      <c r="C44" s="41">
        <v>0.2</v>
      </c>
      <c r="D44" s="41" t="e">
        <f>((NPV(C44,$G$15:$Q$15)+(#REF!*(1+#REF!)/(C44-#REF!))/(1+C44)^(2040-2020))/$D$50)/$C$51-1</f>
        <v>#REF!</v>
      </c>
      <c r="G44" s="25"/>
      <c r="J44" s="26"/>
    </row>
    <row r="45" spans="1:10" x14ac:dyDescent="0.2">
      <c r="A45" s="25"/>
      <c r="G45" s="25"/>
      <c r="J45" s="26"/>
    </row>
    <row r="46" spans="1:10" ht="17" thickBot="1" x14ac:dyDescent="0.25">
      <c r="A46" s="28"/>
      <c r="B46" s="29" t="s">
        <v>18</v>
      </c>
      <c r="C46" s="29"/>
      <c r="D46" s="44">
        <f>I33</f>
        <v>6.3858999999999999E-2</v>
      </c>
      <c r="E46" s="29"/>
      <c r="F46" s="29"/>
      <c r="G46" s="28"/>
      <c r="H46" s="29"/>
      <c r="I46" s="29"/>
      <c r="J46" s="30"/>
    </row>
    <row r="47" spans="1:10" x14ac:dyDescent="0.2"/>
    <row r="48" spans="1:10" x14ac:dyDescent="0.2">
      <c r="A48" s="16"/>
      <c r="B48" s="17"/>
      <c r="C48" s="81">
        <f>Pessimistisch!C48</f>
        <v>45226</v>
      </c>
      <c r="D48" s="18" t="s">
        <v>3</v>
      </c>
      <c r="E48" s="19"/>
      <c r="F48" s="20"/>
      <c r="G48" s="21"/>
      <c r="H48" s="21"/>
      <c r="I48" s="21"/>
    </row>
    <row r="49" spans="1:20" ht="17" x14ac:dyDescent="0.2">
      <c r="A49" s="45" t="s">
        <v>0</v>
      </c>
      <c r="B49" s="46" t="str">
        <f>Pessimistisch!B49</f>
        <v>Marktkapitalisierung, Mrd.</v>
      </c>
      <c r="C49" s="56">
        <f>C50*C51</f>
        <v>763.02566153700002</v>
      </c>
      <c r="D49" s="47">
        <f>SUM(G19:Q19)</f>
        <v>750.9469059327447</v>
      </c>
      <c r="E49" s="46"/>
    </row>
    <row r="50" spans="1:20" x14ac:dyDescent="0.2">
      <c r="A50" s="45"/>
      <c r="B50" s="46" t="str">
        <f>Pessimistisch!B50</f>
        <v>Anzahl Aktien gesamt, Mrd.</v>
      </c>
      <c r="C50" s="56">
        <f>Pessimistisch!C50</f>
        <v>0.240930111</v>
      </c>
      <c r="D50" s="56">
        <f>C50</f>
        <v>0.240930111</v>
      </c>
      <c r="E50" s="46"/>
    </row>
    <row r="51" spans="1:20" x14ac:dyDescent="0.2">
      <c r="A51" s="45"/>
      <c r="B51" s="46" t="s">
        <v>11</v>
      </c>
      <c r="C51" s="56">
        <f>Pessimistisch!C51</f>
        <v>3167</v>
      </c>
      <c r="D51" s="85">
        <f>D49/(D50)</f>
        <v>3116.8661435296672</v>
      </c>
      <c r="E51" s="46"/>
    </row>
    <row r="52" spans="1:20" x14ac:dyDescent="0.2">
      <c r="A52" s="45"/>
      <c r="B52" s="46" t="s">
        <v>2</v>
      </c>
      <c r="C52" s="46"/>
      <c r="D52" s="106">
        <f>IF(C51/D51-1&gt;0,0,C51/D51-1)*-1</f>
        <v>0</v>
      </c>
      <c r="E52" s="46"/>
    </row>
    <row r="53" spans="1:20" x14ac:dyDescent="0.2">
      <c r="A53" s="45"/>
      <c r="B53" s="46" t="s">
        <v>12</v>
      </c>
      <c r="C53" s="46"/>
      <c r="D53" s="50">
        <f>IF(C51/D51-1&lt;0,0,C51/D51-1)</f>
        <v>1.6084699875355879E-2</v>
      </c>
      <c r="E53" s="46"/>
    </row>
    <row r="54" spans="1:20" x14ac:dyDescent="0.2">
      <c r="A54" s="46"/>
      <c r="B54" s="46"/>
      <c r="C54" s="46"/>
      <c r="D54" s="48"/>
      <c r="E54" s="48"/>
    </row>
    <row r="55" spans="1:20" x14ac:dyDescent="0.2">
      <c r="A55" s="48" t="s">
        <v>17</v>
      </c>
      <c r="B55" s="46"/>
      <c r="C55" s="50">
        <f>D46</f>
        <v>6.3858999999999999E-2</v>
      </c>
      <c r="D55" s="49"/>
      <c r="E55" s="46"/>
      <c r="J55" s="68"/>
    </row>
    <row r="56" spans="1:20" x14ac:dyDescent="0.2">
      <c r="A56" s="48"/>
      <c r="B56" s="46"/>
      <c r="C56" s="50"/>
      <c r="D56" s="49"/>
      <c r="E56" s="46"/>
    </row>
    <row r="57" spans="1:20" hidden="1" x14ac:dyDescent="0.2">
      <c r="A57" s="48" t="s">
        <v>20</v>
      </c>
      <c r="B57" s="71">
        <v>0.108</v>
      </c>
      <c r="C57" s="50"/>
      <c r="D57" s="72">
        <f>SUM(H57:Q57)*1000</f>
        <v>406882.30710010399</v>
      </c>
      <c r="E57" s="46"/>
      <c r="F57" s="1" t="s">
        <v>21</v>
      </c>
      <c r="H57" s="1">
        <f>G15/(1+$B$57)</f>
        <v>39.205776173285194</v>
      </c>
      <c r="I57" s="1">
        <f>H15/(1+$B$57)^2</f>
        <v>36.817891540356314</v>
      </c>
      <c r="J57" s="1">
        <f>I15/(1+$B$57)^3</f>
        <v>35.787494013460936</v>
      </c>
      <c r="K57" s="1">
        <f>J15/(1+$B$57)^4</f>
        <v>28.46473814477093</v>
      </c>
      <c r="L57" s="1">
        <f>K15/(1+$B$57)^5</f>
        <v>25.702120817565007</v>
      </c>
      <c r="M57" s="1">
        <f>L15/(1+$B$57)^6</f>
        <v>23.206129371620175</v>
      </c>
      <c r="N57" s="1">
        <f>M15/(1+$B$57)^7</f>
        <v>21.164942903804274</v>
      </c>
      <c r="O57" s="1">
        <f>N15/(1+$B$57)^8</f>
        <v>19.303218246671324</v>
      </c>
      <c r="P57" s="1">
        <f>O15/(1+$B$57)^9</f>
        <v>17.428069749457517</v>
      </c>
      <c r="Q57" s="1">
        <f>(Q15/(B57-Q12))/(1+B57)^10</f>
        <v>159.80192613911237</v>
      </c>
    </row>
    <row r="58" spans="1:20" ht="17" thickBot="1" x14ac:dyDescent="0.25">
      <c r="A58" s="22"/>
      <c r="C58" s="63"/>
      <c r="D58" s="64"/>
    </row>
    <row r="59" spans="1:20" x14ac:dyDescent="0.2">
      <c r="A59" s="57" t="str">
        <f>Pessimistisch!A59</f>
        <v>KGV Multiple in 2033</v>
      </c>
      <c r="B59" s="23"/>
      <c r="C59" s="65">
        <v>40</v>
      </c>
      <c r="D59" s="23"/>
      <c r="E59" s="24"/>
    </row>
    <row r="60" spans="1:20" x14ac:dyDescent="0.2">
      <c r="A60" s="25" t="s">
        <v>19</v>
      </c>
      <c r="C60" s="66"/>
      <c r="D60" s="66"/>
      <c r="E60" s="2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</row>
    <row r="61" spans="1:20" x14ac:dyDescent="0.2">
      <c r="A61" s="25"/>
      <c r="C61" s="66"/>
      <c r="E61" s="26"/>
    </row>
    <row r="62" spans="1:20" x14ac:dyDescent="0.2">
      <c r="A62" s="25" t="s">
        <v>34</v>
      </c>
      <c r="C62" s="66"/>
      <c r="E62" s="58">
        <f>P17*C59</f>
        <v>7698.8531501480466</v>
      </c>
    </row>
    <row r="63" spans="1:20" x14ac:dyDescent="0.2">
      <c r="A63" s="25"/>
      <c r="C63" s="66"/>
      <c r="E63" s="26"/>
    </row>
    <row r="64" spans="1:20" x14ac:dyDescent="0.2">
      <c r="A64" s="25" t="s">
        <v>15</v>
      </c>
      <c r="C64" s="67">
        <v>0.3</v>
      </c>
      <c r="E64" s="26"/>
    </row>
    <row r="65" spans="1:5" x14ac:dyDescent="0.2">
      <c r="A65" s="25"/>
      <c r="E65" s="26"/>
    </row>
    <row r="66" spans="1:5" x14ac:dyDescent="0.2">
      <c r="A66" s="25" t="s">
        <v>16</v>
      </c>
      <c r="E66" s="58">
        <f>SUM(G17:Q17)*C64</f>
        <v>562.27837979784442</v>
      </c>
    </row>
    <row r="67" spans="1:5" x14ac:dyDescent="0.2">
      <c r="A67" s="25"/>
      <c r="E67" s="59"/>
    </row>
    <row r="68" spans="1:5" x14ac:dyDescent="0.2">
      <c r="A68" s="100" t="s">
        <v>41</v>
      </c>
      <c r="E68" s="101">
        <f>(E66*0.15)*-1</f>
        <v>-84.341756969676666</v>
      </c>
    </row>
    <row r="69" spans="1:5" x14ac:dyDescent="0.2">
      <c r="A69" s="25"/>
      <c r="C69" s="41"/>
      <c r="D69" s="41"/>
      <c r="E69" s="60"/>
    </row>
    <row r="70" spans="1:5" x14ac:dyDescent="0.2">
      <c r="A70" s="25" t="str">
        <f>Pessimistisch!A70</f>
        <v>Gesamtwert 2033</v>
      </c>
      <c r="E70" s="58">
        <f>SUM(E62:E68)</f>
        <v>8176.7897729762144</v>
      </c>
    </row>
    <row r="71" spans="1:5" x14ac:dyDescent="0.2">
      <c r="A71" s="25"/>
      <c r="E71" s="58"/>
    </row>
    <row r="72" spans="1:5" x14ac:dyDescent="0.2">
      <c r="A72" s="25" t="str">
        <f>Pessimistisch!A72</f>
        <v>Steigerung Gesamt bis 2033 in Prozent</v>
      </c>
      <c r="E72" s="60">
        <f>E70/C51-1</f>
        <v>1.5818723627964051</v>
      </c>
    </row>
    <row r="73" spans="1:5" x14ac:dyDescent="0.2">
      <c r="A73" s="25"/>
      <c r="E73" s="104"/>
    </row>
    <row r="74" spans="1:5" ht="17" thickBot="1" x14ac:dyDescent="0.25">
      <c r="A74" s="61" t="str">
        <f>Pessimistisch!A74</f>
        <v>Renditeerwartung bis 2033 pro Jahr</v>
      </c>
      <c r="B74" s="62"/>
      <c r="C74" s="62"/>
      <c r="D74" s="62"/>
      <c r="E74" s="103">
        <f>(E70/C51)^(1/10)-1</f>
        <v>9.9495552268931586E-2</v>
      </c>
    </row>
    <row r="75" spans="1:5" x14ac:dyDescent="0.2"/>
  </sheetData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conditionalFormatting sqref="G6:J8">
    <cfRule type="top10" dxfId="3" priority="5" percent="1" rank="10"/>
  </conditionalFormatting>
  <conditionalFormatting sqref="L2:L5">
    <cfRule type="top10" dxfId="2" priority="3" percent="1" rank="10"/>
  </conditionalFormatting>
  <conditionalFormatting sqref="L6:L8">
    <cfRule type="top10" dxfId="1" priority="6" percent="1" rank="10"/>
  </conditionalFormatting>
  <conditionalFormatting sqref="L9">
    <cfRule type="top10" dxfId="0" priority="4" percent="1" rank="10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Wachstum für faire Bewertung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Tilman Reichel</cp:lastModifiedBy>
  <cp:lastPrinted>2021-08-03T18:16:56Z</cp:lastPrinted>
  <dcterms:created xsi:type="dcterms:W3CDTF">2020-02-09T06:30:31Z</dcterms:created>
  <dcterms:modified xsi:type="dcterms:W3CDTF">2023-10-27T10:17:28Z</dcterms:modified>
</cp:coreProperties>
</file>