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ilmanreichel/Documents/Wir lieben Aktien/Encavis/"/>
    </mc:Choice>
  </mc:AlternateContent>
  <xr:revisionPtr revIDLastSave="0" documentId="13_ncr:1_{34DB396D-5F09-1342-B6BB-CD55096B8EAA}" xr6:coauthVersionLast="47" xr6:coauthVersionMax="47" xr10:uidLastSave="{00000000-0000-0000-0000-000000000000}"/>
  <bookViews>
    <workbookView xWindow="0" yWindow="500" windowWidth="68800" windowHeight="26580" xr2:uid="{4D030D5F-AF46-EF49-94E6-2E427342BAB6}"/>
  </bookViews>
  <sheets>
    <sheet name="Optimistisch" sheetId="1" r:id="rId1"/>
    <sheet name="Pessimistisch" sheetId="2" r:id="rId2"/>
    <sheet name="Wachstum für Faire Bewertung" sheetId="3" r:id="rId3"/>
    <sheet name="DCF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1" l="1"/>
  <c r="I15" i="1"/>
  <c r="J15" i="1"/>
  <c r="H12" i="4"/>
  <c r="I12" i="4"/>
  <c r="B4" i="4"/>
  <c r="B21" i="4"/>
  <c r="C44" i="4"/>
  <c r="C43" i="4"/>
  <c r="D43" i="4"/>
  <c r="C41" i="4"/>
  <c r="B23" i="4"/>
  <c r="B17" i="4"/>
  <c r="C9" i="4"/>
  <c r="D9" i="4"/>
  <c r="E9" i="4"/>
  <c r="F9" i="4"/>
  <c r="G9" i="4"/>
  <c r="H9" i="4"/>
  <c r="I9" i="4"/>
  <c r="J9" i="4"/>
  <c r="K9" i="4"/>
  <c r="L9" i="4"/>
  <c r="M9" i="4"/>
  <c r="C10" i="4"/>
  <c r="C11" i="4"/>
  <c r="D10" i="4"/>
  <c r="D11" i="4"/>
  <c r="E10" i="4"/>
  <c r="E11" i="4"/>
  <c r="F10" i="4"/>
  <c r="F11" i="4"/>
  <c r="G10" i="4"/>
  <c r="G11" i="4"/>
  <c r="J10" i="4"/>
  <c r="J12" i="4"/>
  <c r="I10" i="4"/>
  <c r="H10" i="4"/>
  <c r="B6" i="4"/>
  <c r="B6" i="3"/>
  <c r="B6" i="2"/>
  <c r="B25" i="4"/>
  <c r="C42" i="4"/>
  <c r="B29" i="4"/>
  <c r="B19" i="4"/>
  <c r="B37" i="4"/>
  <c r="J13" i="4"/>
  <c r="H13" i="4"/>
  <c r="I13" i="4"/>
  <c r="A15" i="3"/>
  <c r="D48" i="2"/>
  <c r="D48" i="3"/>
  <c r="D44" i="3"/>
  <c r="A14" i="3"/>
  <c r="R11" i="3"/>
  <c r="K12" i="3"/>
  <c r="L12" i="3"/>
  <c r="M12" i="3"/>
  <c r="N12" i="3"/>
  <c r="O12" i="3"/>
  <c r="P12" i="3"/>
  <c r="Q12" i="3"/>
  <c r="R12" i="3"/>
  <c r="J11" i="3"/>
  <c r="K11" i="3"/>
  <c r="L11" i="3"/>
  <c r="M11" i="3"/>
  <c r="N11" i="3"/>
  <c r="O11" i="3"/>
  <c r="P11" i="3"/>
  <c r="Q11" i="3"/>
  <c r="I11" i="3"/>
  <c r="C34" i="3"/>
  <c r="C33" i="3"/>
  <c r="C32" i="3"/>
  <c r="C31" i="3"/>
  <c r="B27" i="3"/>
  <c r="B25" i="3"/>
  <c r="B21" i="3"/>
  <c r="G14" i="3"/>
  <c r="F14" i="3"/>
  <c r="E14" i="3"/>
  <c r="D14" i="3"/>
  <c r="C14" i="3"/>
  <c r="G13" i="3"/>
  <c r="F13" i="3"/>
  <c r="E13" i="3"/>
  <c r="D13" i="3"/>
  <c r="C13" i="3"/>
  <c r="D12" i="3"/>
  <c r="C12" i="3"/>
  <c r="G10" i="3"/>
  <c r="H10" i="3"/>
  <c r="F10" i="3"/>
  <c r="E10" i="3"/>
  <c r="E12" i="3"/>
  <c r="D10" i="3"/>
  <c r="C10" i="3"/>
  <c r="D11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B4" i="3"/>
  <c r="A42" i="2"/>
  <c r="B27" i="2"/>
  <c r="B25" i="2"/>
  <c r="B21" i="2"/>
  <c r="C34" i="2"/>
  <c r="C33" i="2"/>
  <c r="H15" i="2"/>
  <c r="C31" i="2"/>
  <c r="J14" i="2"/>
  <c r="I14" i="2"/>
  <c r="H14" i="2"/>
  <c r="I13" i="2"/>
  <c r="I12" i="2"/>
  <c r="J13" i="2"/>
  <c r="H13" i="2"/>
  <c r="D13" i="2"/>
  <c r="D12" i="2"/>
  <c r="E13" i="2"/>
  <c r="E12" i="2"/>
  <c r="F13" i="2"/>
  <c r="G13" i="2"/>
  <c r="D14" i="2"/>
  <c r="E14" i="2"/>
  <c r="F14" i="2"/>
  <c r="G14" i="2"/>
  <c r="C14" i="2"/>
  <c r="C13" i="2"/>
  <c r="C12" i="2"/>
  <c r="I10" i="2"/>
  <c r="I11" i="2"/>
  <c r="J10" i="2"/>
  <c r="J11" i="2"/>
  <c r="H10" i="2"/>
  <c r="D10" i="2"/>
  <c r="E10" i="2"/>
  <c r="E11" i="2"/>
  <c r="F10" i="2"/>
  <c r="G10" i="2"/>
  <c r="G11" i="2"/>
  <c r="C10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B4" i="2"/>
  <c r="H15" i="3"/>
  <c r="G12" i="3"/>
  <c r="K10" i="2"/>
  <c r="K13" i="2"/>
  <c r="K14" i="2"/>
  <c r="D11" i="2"/>
  <c r="G11" i="3"/>
  <c r="J12" i="2"/>
  <c r="A40" i="2"/>
  <c r="F12" i="3"/>
  <c r="B29" i="3"/>
  <c r="I10" i="3"/>
  <c r="A42" i="3"/>
  <c r="A54" i="3"/>
  <c r="A40" i="3"/>
  <c r="A52" i="3"/>
  <c r="A50" i="3"/>
  <c r="R9" i="3"/>
  <c r="F11" i="3"/>
  <c r="I15" i="3"/>
  <c r="J15" i="3"/>
  <c r="B23" i="3"/>
  <c r="D33" i="3"/>
  <c r="E11" i="3"/>
  <c r="I15" i="2"/>
  <c r="I16" i="2"/>
  <c r="C32" i="2"/>
  <c r="B23" i="2"/>
  <c r="B29" i="2"/>
  <c r="J17" i="2"/>
  <c r="D33" i="2"/>
  <c r="H16" i="2"/>
  <c r="H12" i="2"/>
  <c r="F12" i="2"/>
  <c r="L10" i="2"/>
  <c r="M10" i="2"/>
  <c r="M13" i="2"/>
  <c r="M14" i="2"/>
  <c r="H11" i="2"/>
  <c r="G12" i="2"/>
  <c r="F11" i="2"/>
  <c r="A54" i="2"/>
  <c r="A52" i="2"/>
  <c r="A50" i="2"/>
  <c r="L13" i="2"/>
  <c r="L14" i="2"/>
  <c r="N10" i="2"/>
  <c r="N13" i="2"/>
  <c r="N14" i="2"/>
  <c r="J10" i="3"/>
  <c r="I17" i="2"/>
  <c r="H17" i="2"/>
  <c r="K17" i="2"/>
  <c r="K15" i="3"/>
  <c r="L15" i="3"/>
  <c r="M15" i="3"/>
  <c r="N15" i="3"/>
  <c r="O15" i="3"/>
  <c r="P15" i="3"/>
  <c r="Q15" i="3"/>
  <c r="J15" i="2"/>
  <c r="J16" i="2"/>
  <c r="O10" i="2"/>
  <c r="L17" i="2"/>
  <c r="M17" i="2"/>
  <c r="K15" i="2"/>
  <c r="L15" i="2"/>
  <c r="K16" i="2"/>
  <c r="N17" i="2"/>
  <c r="P10" i="2"/>
  <c r="O13" i="2"/>
  <c r="O14" i="2"/>
  <c r="P13" i="2"/>
  <c r="P14" i="2"/>
  <c r="Q10" i="2"/>
  <c r="M15" i="2"/>
  <c r="L16" i="2"/>
  <c r="O17" i="2"/>
  <c r="P17" i="2"/>
  <c r="N15" i="2"/>
  <c r="M16" i="2"/>
  <c r="Q13" i="2"/>
  <c r="Q14" i="2" s="1"/>
  <c r="R10" i="2"/>
  <c r="R13" i="2"/>
  <c r="R14" i="2"/>
  <c r="R17" i="2"/>
  <c r="O15" i="2"/>
  <c r="N16" i="2"/>
  <c r="P15" i="2"/>
  <c r="O16" i="2"/>
  <c r="Q15" i="2"/>
  <c r="P16" i="2"/>
  <c r="C32" i="1"/>
  <c r="D33" i="1"/>
  <c r="B29" i="1"/>
  <c r="B23" i="1"/>
  <c r="K10" i="1"/>
  <c r="D12" i="1"/>
  <c r="E12" i="1"/>
  <c r="F12" i="1"/>
  <c r="G12" i="1"/>
  <c r="H12" i="1"/>
  <c r="H12" i="3"/>
  <c r="H13" i="3"/>
  <c r="H14" i="3"/>
  <c r="I12" i="1"/>
  <c r="I12" i="3"/>
  <c r="I13" i="3"/>
  <c r="I14" i="3"/>
  <c r="J12" i="1"/>
  <c r="J12" i="3"/>
  <c r="J13" i="3"/>
  <c r="J14" i="3"/>
  <c r="C12" i="1"/>
  <c r="H11" i="1"/>
  <c r="I11" i="1"/>
  <c r="J11" i="1"/>
  <c r="E11" i="1"/>
  <c r="F11" i="1"/>
  <c r="G11" i="1"/>
  <c r="D11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A42" i="1"/>
  <c r="K13" i="1"/>
  <c r="K14" i="1"/>
  <c r="K17" i="1"/>
  <c r="K10" i="4"/>
  <c r="K12" i="4"/>
  <c r="K13" i="4"/>
  <c r="J16" i="3"/>
  <c r="J17" i="3"/>
  <c r="I16" i="3"/>
  <c r="I17" i="3"/>
  <c r="H16" i="3"/>
  <c r="H17" i="3"/>
  <c r="H16" i="1"/>
  <c r="I16" i="1"/>
  <c r="A40" i="1"/>
  <c r="H17" i="1"/>
  <c r="A50" i="1"/>
  <c r="I17" i="1"/>
  <c r="J17" i="1"/>
  <c r="A52" i="1"/>
  <c r="A54" i="1"/>
  <c r="L10" i="1"/>
  <c r="L10" i="4"/>
  <c r="L12" i="4"/>
  <c r="L13" i="4"/>
  <c r="K15" i="1"/>
  <c r="J16" i="1"/>
  <c r="M10" i="1"/>
  <c r="M10" i="4"/>
  <c r="M12" i="4"/>
  <c r="M13" i="4"/>
  <c r="D42" i="4"/>
  <c r="D44" i="4"/>
  <c r="L13" i="1"/>
  <c r="L14" i="1"/>
  <c r="D46" i="4"/>
  <c r="D45" i="4"/>
  <c r="L15" i="1"/>
  <c r="M15" i="1"/>
  <c r="N15" i="1"/>
  <c r="O15" i="1"/>
  <c r="P15" i="1"/>
  <c r="Q15" i="1"/>
  <c r="K16" i="1"/>
  <c r="L17" i="1"/>
  <c r="N10" i="1"/>
  <c r="M13" i="1"/>
  <c r="M14" i="1"/>
  <c r="L16" i="1"/>
  <c r="M16" i="1"/>
  <c r="M17" i="1"/>
  <c r="O10" i="1"/>
  <c r="N13" i="1"/>
  <c r="N14" i="1"/>
  <c r="N16" i="1"/>
  <c r="N17" i="1"/>
  <c r="P10" i="1"/>
  <c r="O13" i="1"/>
  <c r="O14" i="1"/>
  <c r="O16" i="1"/>
  <c r="O17" i="1"/>
  <c r="Q10" i="1"/>
  <c r="P13" i="1"/>
  <c r="P14" i="1"/>
  <c r="P16" i="1"/>
  <c r="P17" i="1"/>
  <c r="R10" i="1"/>
  <c r="R13" i="1"/>
  <c r="R14" i="1"/>
  <c r="R17" i="1"/>
  <c r="Q13" i="1"/>
  <c r="Q14" i="1"/>
  <c r="Q17" i="1"/>
  <c r="D32" i="1"/>
  <c r="D34" i="1"/>
  <c r="D35" i="1"/>
  <c r="Q16" i="1"/>
  <c r="D36" i="1"/>
  <c r="D42" i="1"/>
  <c r="D46" i="1"/>
  <c r="D50" i="1"/>
  <c r="D54" i="1"/>
  <c r="D52" i="1"/>
  <c r="K10" i="3"/>
  <c r="L10" i="3"/>
  <c r="K13" i="3"/>
  <c r="K14" i="3"/>
  <c r="K17" i="3"/>
  <c r="L13" i="3"/>
  <c r="L14" i="3"/>
  <c r="M10" i="3"/>
  <c r="K16" i="3"/>
  <c r="M13" i="3"/>
  <c r="M14" i="3"/>
  <c r="N10" i="3"/>
  <c r="L17" i="3"/>
  <c r="L16" i="3"/>
  <c r="N13" i="3"/>
  <c r="N14" i="3"/>
  <c r="O10" i="3"/>
  <c r="M16" i="3"/>
  <c r="M17" i="3"/>
  <c r="P10" i="3"/>
  <c r="O13" i="3"/>
  <c r="O14" i="3"/>
  <c r="N16" i="3"/>
  <c r="N17" i="3"/>
  <c r="O16" i="3"/>
  <c r="O17" i="3"/>
  <c r="P13" i="3"/>
  <c r="P14" i="3"/>
  <c r="Q10" i="3"/>
  <c r="Q13" i="3"/>
  <c r="Q14" i="3"/>
  <c r="R10" i="3"/>
  <c r="R13" i="3"/>
  <c r="R14" i="3"/>
  <c r="R17" i="3"/>
  <c r="P17" i="3"/>
  <c r="P16" i="3"/>
  <c r="Q16" i="3"/>
  <c r="Q17" i="3"/>
  <c r="D32" i="3"/>
  <c r="D34" i="3"/>
  <c r="D42" i="3"/>
  <c r="D46" i="3"/>
  <c r="D36" i="3"/>
  <c r="D35" i="3"/>
  <c r="D50" i="3"/>
  <c r="D52" i="3"/>
  <c r="D54" i="3"/>
  <c r="Q16" i="2" l="1"/>
  <c r="Q17" i="2"/>
  <c r="D32" i="2" s="1"/>
  <c r="D34" i="2" s="1"/>
  <c r="D36" i="2" l="1"/>
  <c r="D35" i="2"/>
  <c r="D42" i="2"/>
  <c r="D46" i="2"/>
  <c r="D50" i="2" l="1"/>
  <c r="D54" i="2" l="1"/>
  <c r="D52" i="2"/>
</calcChain>
</file>

<file path=xl/sharedStrings.xml><?xml version="1.0" encoding="utf-8"?>
<sst xmlns="http://schemas.openxmlformats.org/spreadsheetml/2006/main" count="118" uniqueCount="41">
  <si>
    <t>Discounted Net-Profit Modell</t>
  </si>
  <si>
    <t>Umsatz</t>
  </si>
  <si>
    <t>Umsatzwachstum</t>
  </si>
  <si>
    <t>EBIT Marge</t>
  </si>
  <si>
    <t>EBIT</t>
  </si>
  <si>
    <t>Gewinn (abzgl. Steuern, Zinsen)</t>
  </si>
  <si>
    <t>Anzahl an Aktien</t>
  </si>
  <si>
    <t>Gewinn je Aktie</t>
  </si>
  <si>
    <t>Schätzungen »</t>
  </si>
  <si>
    <t>-</t>
  </si>
  <si>
    <t>Risikoloser Basiszins:</t>
  </si>
  <si>
    <t>Risikoprämie:</t>
  </si>
  <si>
    <t>Marktrendite:</t>
  </si>
  <si>
    <t>Beta-Faktor:</t>
  </si>
  <si>
    <t>Eigenkapitalkosten:</t>
  </si>
  <si>
    <t>Fairer Wert</t>
  </si>
  <si>
    <t>Bewertung</t>
  </si>
  <si>
    <t>Marktkapitalisierung</t>
  </si>
  <si>
    <t>Kurs je Aktie</t>
  </si>
  <si>
    <t>Unterbewertung</t>
  </si>
  <si>
    <t>Überbewertung</t>
  </si>
  <si>
    <t>Abgezinster Gewinn</t>
  </si>
  <si>
    <t>Berechnung der Renditeerwartung:</t>
  </si>
  <si>
    <t>Berechnung der Eigenkapitalkosten:</t>
  </si>
  <si>
    <t>Durchschnittliche Ausschüttungsquote:</t>
  </si>
  <si>
    <t>Ausgeschüttete Gewinne:</t>
  </si>
  <si>
    <t>Quellensteuer</t>
  </si>
  <si>
    <t>Anzahl an Aktien (abzgl. Aktienrückkäufe)</t>
  </si>
  <si>
    <t>Discounted Cashflow Modell</t>
  </si>
  <si>
    <t>Free Cashflow Marge</t>
  </si>
  <si>
    <t>Free Cashflow</t>
  </si>
  <si>
    <t>Abgezinster Free Cashflow</t>
  </si>
  <si>
    <t>Berechnung der WACC:</t>
  </si>
  <si>
    <t>Zinsrate (durchschnittlich):</t>
  </si>
  <si>
    <t>Steuerrate (durchschnittlich):</t>
  </si>
  <si>
    <t>WACC:</t>
  </si>
  <si>
    <t>Wachstumsabschlag:</t>
  </si>
  <si>
    <t>Marktkapitalisierung:</t>
  </si>
  <si>
    <t>Verzinstes Fremdkapital:</t>
  </si>
  <si>
    <t>Annahmen für Encavis</t>
  </si>
  <si>
    <t>Alle Angaben in Mio.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</si>
</sst>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/>
    <xf numFmtId="0" fontId="1" fillId="2" borderId="0" xfId="0" applyFont="1" applyFill="1"/>
    <xf numFmtId="2" fontId="0" fillId="0" borderId="0" xfId="0" applyNumberFormat="1"/>
    <xf numFmtId="10" fontId="0" fillId="0" borderId="0" xfId="0" applyNumberFormat="1"/>
    <xf numFmtId="0" fontId="0" fillId="3" borderId="0" xfId="0" applyFill="1"/>
    <xf numFmtId="0" fontId="0" fillId="3" borderId="0" xfId="0" applyFill="1" applyAlignment="1">
      <alignment horizontal="right"/>
    </xf>
    <xf numFmtId="2" fontId="0" fillId="3" borderId="0" xfId="0" applyNumberFormat="1" applyFill="1"/>
    <xf numFmtId="10" fontId="0" fillId="3" borderId="0" xfId="0" applyNumberFormat="1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0" fontId="0" fillId="0" borderId="5" xfId="0" applyNumberFormat="1" applyBorder="1"/>
    <xf numFmtId="2" fontId="0" fillId="0" borderId="5" xfId="0" applyNumberFormat="1" applyBorder="1"/>
    <xf numFmtId="0" fontId="0" fillId="0" borderId="6" xfId="0" applyBorder="1"/>
    <xf numFmtId="0" fontId="0" fillId="0" borderId="7" xfId="0" applyBorder="1"/>
    <xf numFmtId="10" fontId="0" fillId="0" borderId="8" xfId="0" applyNumberFormat="1" applyBorder="1"/>
    <xf numFmtId="0" fontId="2" fillId="0" borderId="2" xfId="0" applyFont="1" applyBorder="1"/>
    <xf numFmtId="0" fontId="3" fillId="0" borderId="0" xfId="0" applyFont="1"/>
    <xf numFmtId="0" fontId="0" fillId="0" borderId="9" xfId="0" applyBorder="1"/>
    <xf numFmtId="0" fontId="0" fillId="0" borderId="10" xfId="0" applyBorder="1"/>
    <xf numFmtId="2" fontId="0" fillId="4" borderId="10" xfId="0" applyNumberFormat="1" applyFill="1" applyBorder="1"/>
    <xf numFmtId="0" fontId="0" fillId="4" borderId="0" xfId="0" applyFill="1"/>
    <xf numFmtId="0" fontId="2" fillId="0" borderId="1" xfId="0" applyFont="1" applyBorder="1"/>
    <xf numFmtId="2" fontId="0" fillId="4" borderId="11" xfId="0" applyNumberFormat="1" applyFill="1" applyBorder="1"/>
    <xf numFmtId="0" fontId="0" fillId="3" borderId="6" xfId="0" applyFill="1" applyBorder="1"/>
    <xf numFmtId="0" fontId="0" fillId="3" borderId="7" xfId="0" applyFill="1" applyBorder="1"/>
    <xf numFmtId="10" fontId="0" fillId="3" borderId="8" xfId="0" applyNumberFormat="1" applyFill="1" applyBorder="1"/>
    <xf numFmtId="14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Design 2013–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C8DC1-CC71-A848-BEC7-DC901284256A}">
  <dimension ref="A1:S65"/>
  <sheetViews>
    <sheetView showGridLines="0" showRowColHeaders="0" tabSelected="1" workbookViewId="0"/>
  </sheetViews>
  <sheetFormatPr baseColWidth="10" defaultColWidth="0" defaultRowHeight="16" zeroHeight="1" x14ac:dyDescent="0.2"/>
  <cols>
    <col min="1" max="1" width="22.5" customWidth="1"/>
    <col min="2" max="2" width="35" customWidth="1"/>
    <col min="3" max="18" width="13.33203125" customWidth="1"/>
    <col min="19" max="19" width="10.83203125" customWidth="1"/>
    <col min="20" max="16384" width="10.83203125" hidden="1"/>
  </cols>
  <sheetData>
    <row r="1" spans="1:18" ht="15" x14ac:dyDescent="0.2"/>
    <row r="2" spans="1:18" ht="25.5" x14ac:dyDescent="0.35">
      <c r="B2" s="20" t="s">
        <v>0</v>
      </c>
    </row>
    <row r="3" spans="1:18" ht="15" x14ac:dyDescent="0.2"/>
    <row r="4" spans="1:18" x14ac:dyDescent="0.2">
      <c r="B4" t="s">
        <v>39</v>
      </c>
    </row>
    <row r="5" spans="1:18" ht="15" x14ac:dyDescent="0.2"/>
    <row r="6" spans="1:18" ht="15" x14ac:dyDescent="0.2">
      <c r="B6" t="s">
        <v>40</v>
      </c>
    </row>
    <row r="7" spans="1:18" ht="15" x14ac:dyDescent="0.2"/>
    <row r="8" spans="1:18" x14ac:dyDescent="0.2">
      <c r="A8" s="2"/>
      <c r="B8" s="2"/>
      <c r="C8" s="2"/>
      <c r="D8" s="2"/>
      <c r="E8" s="2"/>
      <c r="F8" s="2"/>
      <c r="G8" s="2"/>
      <c r="H8" s="3" t="s">
        <v>8</v>
      </c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5" x14ac:dyDescent="0.2">
      <c r="C9">
        <v>2018</v>
      </c>
      <c r="D9">
        <f>C9+1</f>
        <v>2019</v>
      </c>
      <c r="E9">
        <f t="shared" ref="E9:Q9" si="0">D9+1</f>
        <v>2020</v>
      </c>
      <c r="F9">
        <f t="shared" si="0"/>
        <v>2021</v>
      </c>
      <c r="G9">
        <f t="shared" si="0"/>
        <v>2022</v>
      </c>
      <c r="H9" s="6">
        <f t="shared" si="0"/>
        <v>2023</v>
      </c>
      <c r="I9" s="6">
        <f t="shared" si="0"/>
        <v>2024</v>
      </c>
      <c r="J9" s="6">
        <f t="shared" si="0"/>
        <v>2025</v>
      </c>
      <c r="K9" s="6">
        <f t="shared" si="0"/>
        <v>2026</v>
      </c>
      <c r="L9" s="6">
        <f t="shared" si="0"/>
        <v>2027</v>
      </c>
      <c r="M9" s="6">
        <f t="shared" si="0"/>
        <v>2028</v>
      </c>
      <c r="N9" s="6">
        <f t="shared" si="0"/>
        <v>2029</v>
      </c>
      <c r="O9" s="6">
        <f t="shared" si="0"/>
        <v>2030</v>
      </c>
      <c r="P9" s="6">
        <f t="shared" si="0"/>
        <v>2031</v>
      </c>
      <c r="Q9" s="6">
        <f t="shared" si="0"/>
        <v>2032</v>
      </c>
      <c r="R9" s="7" t="str">
        <f>Q9+1&amp;"ff."</f>
        <v>2033ff.</v>
      </c>
    </row>
    <row r="10" spans="1:18" ht="15" x14ac:dyDescent="0.2">
      <c r="B10" t="s">
        <v>1</v>
      </c>
      <c r="C10" s="4">
        <v>248.785</v>
      </c>
      <c r="D10" s="4">
        <v>273.822</v>
      </c>
      <c r="E10" s="4">
        <v>292.3</v>
      </c>
      <c r="F10" s="4">
        <v>332.70299999999997</v>
      </c>
      <c r="G10" s="4">
        <v>487.34199999999998</v>
      </c>
      <c r="H10" s="8">
        <v>458.3</v>
      </c>
      <c r="I10" s="8">
        <v>497.68</v>
      </c>
      <c r="J10" s="8">
        <v>553.34</v>
      </c>
      <c r="K10" s="8">
        <f>J10*(1+K11)</f>
        <v>691.67500000000007</v>
      </c>
      <c r="L10" s="8">
        <f t="shared" ref="L10:R10" si="1">K10*(1+L11)</f>
        <v>795.42624999999998</v>
      </c>
      <c r="M10" s="8">
        <f t="shared" si="1"/>
        <v>890.87740000000008</v>
      </c>
      <c r="N10" s="8">
        <f t="shared" si="1"/>
        <v>988.87391400000013</v>
      </c>
      <c r="O10" s="8">
        <f t="shared" si="1"/>
        <v>1087.7613054000003</v>
      </c>
      <c r="P10" s="8">
        <f t="shared" si="1"/>
        <v>1191.0986294130003</v>
      </c>
      <c r="Q10" s="8">
        <f t="shared" si="1"/>
        <v>1298.2975060601705</v>
      </c>
      <c r="R10" s="8">
        <f t="shared" si="1"/>
        <v>1324.2634561813738</v>
      </c>
    </row>
    <row r="11" spans="1:18" ht="15" x14ac:dyDescent="0.2">
      <c r="B11" t="s">
        <v>2</v>
      </c>
      <c r="C11" s="1" t="s">
        <v>9</v>
      </c>
      <c r="D11" s="5">
        <f>D10/C10-1</f>
        <v>0.10063709628795947</v>
      </c>
      <c r="E11" s="5">
        <f t="shared" ref="E11:G11" si="2">E10/D10-1</f>
        <v>6.74817947425701E-2</v>
      </c>
      <c r="F11" s="5">
        <f t="shared" si="2"/>
        <v>0.13822442695860415</v>
      </c>
      <c r="G11" s="5">
        <f t="shared" si="2"/>
        <v>0.4647959291019319</v>
      </c>
      <c r="H11" s="9">
        <f t="shared" ref="H11" si="3">H10/G10-1</f>
        <v>-5.9592647463177717E-2</v>
      </c>
      <c r="I11" s="9">
        <f t="shared" ref="I11" si="4">I10/H10-1</f>
        <v>8.5926249181758729E-2</v>
      </c>
      <c r="J11" s="9">
        <f t="shared" ref="J11" si="5">J10/I10-1</f>
        <v>0.11183893264748446</v>
      </c>
      <c r="K11" s="9">
        <v>0.25</v>
      </c>
      <c r="L11" s="9">
        <v>0.15</v>
      </c>
      <c r="M11" s="9">
        <v>0.12</v>
      </c>
      <c r="N11" s="9">
        <v>0.11</v>
      </c>
      <c r="O11" s="9">
        <v>0.1</v>
      </c>
      <c r="P11" s="9">
        <v>9.5000000000000001E-2</v>
      </c>
      <c r="Q11" s="9">
        <v>0.09</v>
      </c>
      <c r="R11" s="9">
        <v>0.02</v>
      </c>
    </row>
    <row r="12" spans="1:18" ht="15" x14ac:dyDescent="0.2">
      <c r="B12" t="s">
        <v>3</v>
      </c>
      <c r="C12" s="5">
        <f>C13/C10</f>
        <v>0.28762184215286291</v>
      </c>
      <c r="D12" s="5">
        <f t="shared" ref="D12:J12" si="6">D13/D10</f>
        <v>0.33388843847462951</v>
      </c>
      <c r="E12" s="5">
        <f t="shared" si="6"/>
        <v>0.3141464249059186</v>
      </c>
      <c r="F12" s="5">
        <f t="shared" si="6"/>
        <v>0.38727333387435647</v>
      </c>
      <c r="G12" s="5">
        <f t="shared" si="6"/>
        <v>0.33214252003726336</v>
      </c>
      <c r="H12" s="9">
        <f t="shared" si="6"/>
        <v>0.38579999999999998</v>
      </c>
      <c r="I12" s="9">
        <f t="shared" si="6"/>
        <v>0.38529999999999998</v>
      </c>
      <c r="J12" s="9">
        <f t="shared" si="6"/>
        <v>0.39279999999999998</v>
      </c>
      <c r="K12" s="9">
        <v>0.4</v>
      </c>
      <c r="L12" s="9">
        <v>0.40500000000000003</v>
      </c>
      <c r="M12" s="9">
        <v>0.41</v>
      </c>
      <c r="N12" s="9">
        <v>0.41499999999999998</v>
      </c>
      <c r="O12" s="9">
        <v>0.42</v>
      </c>
      <c r="P12" s="9">
        <v>0.42</v>
      </c>
      <c r="Q12" s="9">
        <v>0.42499999999999999</v>
      </c>
      <c r="R12" s="9">
        <v>0.43</v>
      </c>
    </row>
    <row r="13" spans="1:18" ht="15" x14ac:dyDescent="0.2">
      <c r="B13" t="s">
        <v>4</v>
      </c>
      <c r="C13" s="4">
        <v>71.555999999999997</v>
      </c>
      <c r="D13" s="4">
        <v>91.426000000000002</v>
      </c>
      <c r="E13" s="4">
        <v>91.825000000000003</v>
      </c>
      <c r="F13" s="4">
        <v>128.84700000000001</v>
      </c>
      <c r="G13" s="4">
        <v>161.86699999999999</v>
      </c>
      <c r="H13" s="8">
        <v>176.81214</v>
      </c>
      <c r="I13" s="8">
        <v>191.75610399999999</v>
      </c>
      <c r="J13" s="8">
        <v>217.35195200000001</v>
      </c>
      <c r="K13" s="8">
        <f>K10*K12</f>
        <v>276.67</v>
      </c>
      <c r="L13" s="8">
        <f t="shared" ref="L13:R13" si="7">L10*L12</f>
        <v>322.14763125000002</v>
      </c>
      <c r="M13" s="8">
        <f t="shared" si="7"/>
        <v>365.25973400000004</v>
      </c>
      <c r="N13" s="8">
        <f t="shared" si="7"/>
        <v>410.38267431000003</v>
      </c>
      <c r="O13" s="8">
        <f t="shared" si="7"/>
        <v>456.85974826800009</v>
      </c>
      <c r="P13" s="8">
        <f t="shared" si="7"/>
        <v>500.26142435346009</v>
      </c>
      <c r="Q13" s="8">
        <f t="shared" si="7"/>
        <v>551.7764400755724</v>
      </c>
      <c r="R13" s="8">
        <f t="shared" si="7"/>
        <v>569.43328615799078</v>
      </c>
    </row>
    <row r="14" spans="1:18" ht="15" x14ac:dyDescent="0.2">
      <c r="A14" s="9">
        <v>0.5</v>
      </c>
      <c r="B14" t="s">
        <v>5</v>
      </c>
      <c r="C14" s="4">
        <v>5.1130000000000004</v>
      </c>
      <c r="D14" s="4">
        <v>22.189</v>
      </c>
      <c r="E14" s="4">
        <v>10.141999999999999</v>
      </c>
      <c r="F14" s="4">
        <v>75.322999999999993</v>
      </c>
      <c r="G14" s="4">
        <v>78.489999999999995</v>
      </c>
      <c r="H14" s="8">
        <v>82.035700000000006</v>
      </c>
      <c r="I14" s="8">
        <v>82.614879999999999</v>
      </c>
      <c r="J14" s="8">
        <v>96.834500000000006</v>
      </c>
      <c r="K14" s="8">
        <f>K13*(1-$A$14)</f>
        <v>138.33500000000001</v>
      </c>
      <c r="L14" s="8">
        <f t="shared" ref="L14:R14" si="8">L13*(1-$A$14)</f>
        <v>161.07381562500001</v>
      </c>
      <c r="M14" s="8">
        <f t="shared" si="8"/>
        <v>182.62986700000002</v>
      </c>
      <c r="N14" s="8">
        <f t="shared" si="8"/>
        <v>205.19133715500001</v>
      </c>
      <c r="O14" s="8">
        <f t="shared" si="8"/>
        <v>228.42987413400004</v>
      </c>
      <c r="P14" s="8">
        <f t="shared" si="8"/>
        <v>250.13071217673004</v>
      </c>
      <c r="Q14" s="8">
        <f t="shared" si="8"/>
        <v>275.8882200377862</v>
      </c>
      <c r="R14" s="8">
        <f t="shared" si="8"/>
        <v>284.71664307899539</v>
      </c>
    </row>
    <row r="15" spans="1:18" x14ac:dyDescent="0.2">
      <c r="A15" s="9">
        <v>1.02</v>
      </c>
      <c r="B15" t="s">
        <v>27</v>
      </c>
      <c r="H15" s="8">
        <f>C33</f>
        <v>161.03</v>
      </c>
      <c r="I15" s="8">
        <f>H15*$A$15</f>
        <v>164.25059999999999</v>
      </c>
      <c r="J15" s="8">
        <f t="shared" ref="J15:Q15" si="9">I15*$A$15</f>
        <v>167.53561199999999</v>
      </c>
      <c r="K15" s="8">
        <f t="shared" si="9"/>
        <v>170.88632423999999</v>
      </c>
      <c r="L15" s="8">
        <f t="shared" si="9"/>
        <v>174.30405072479999</v>
      </c>
      <c r="M15" s="8">
        <f t="shared" si="9"/>
        <v>177.79013173929599</v>
      </c>
      <c r="N15" s="8">
        <f t="shared" si="9"/>
        <v>181.34593437408191</v>
      </c>
      <c r="O15" s="8">
        <f t="shared" si="9"/>
        <v>184.97285306156354</v>
      </c>
      <c r="P15" s="8">
        <f t="shared" si="9"/>
        <v>188.67231012279481</v>
      </c>
      <c r="Q15" s="8">
        <f t="shared" si="9"/>
        <v>192.4457563252507</v>
      </c>
      <c r="R15" s="7" t="s">
        <v>9</v>
      </c>
    </row>
    <row r="16" spans="1:18" ht="15" x14ac:dyDescent="0.2">
      <c r="B16" t="s">
        <v>7</v>
      </c>
      <c r="H16" s="8">
        <f>H14/H15</f>
        <v>0.50944358194125317</v>
      </c>
      <c r="I16" s="8">
        <f t="shared" ref="I16:P16" si="10">I14/I15</f>
        <v>0.50298068926384443</v>
      </c>
      <c r="J16" s="8">
        <f t="shared" si="10"/>
        <v>0.57799353130962994</v>
      </c>
      <c r="K16" s="8">
        <f t="shared" si="10"/>
        <v>0.80951474973337523</v>
      </c>
      <c r="L16" s="8">
        <f t="shared" si="10"/>
        <v>0.92409680070666544</v>
      </c>
      <c r="M16" s="8">
        <f t="shared" si="10"/>
        <v>1.0272216191830086</v>
      </c>
      <c r="N16" s="8">
        <f t="shared" si="10"/>
        <v>1.1314912455204515</v>
      </c>
      <c r="O16" s="8">
        <f t="shared" si="10"/>
        <v>1.2349372913547099</v>
      </c>
      <c r="P16" s="8">
        <f t="shared" si="10"/>
        <v>1.325741503954321</v>
      </c>
      <c r="Q16" s="8">
        <f>Q14/Q15</f>
        <v>1.4335895231252083</v>
      </c>
      <c r="R16" s="7" t="s">
        <v>9</v>
      </c>
    </row>
    <row r="17" spans="1:18" ht="15" x14ac:dyDescent="0.2">
      <c r="F17" s="21" t="s">
        <v>21</v>
      </c>
      <c r="G17" s="22"/>
      <c r="H17" s="23">
        <f>H14/(1+$B$29)</f>
        <v>76.259727250281856</v>
      </c>
      <c r="I17" s="23">
        <f>I14/(1+$B$29)^2</f>
        <v>71.3909227226128</v>
      </c>
      <c r="J17" s="23">
        <f>J14/(1+$B$29)^3</f>
        <v>77.787030496868397</v>
      </c>
      <c r="K17" s="23">
        <f>K14/(1+$B$29)^4</f>
        <v>103.30028319204828</v>
      </c>
      <c r="L17" s="23">
        <f>L14/(1+$B$29)^5</f>
        <v>111.81156951724915</v>
      </c>
      <c r="M17" s="23">
        <f>M14/(1+$B$29)^6</f>
        <v>117.8490156514476</v>
      </c>
      <c r="N17" s="23">
        <f>N14/(1+$B$29)^7</f>
        <v>123.08511551644644</v>
      </c>
      <c r="O17" s="23">
        <f>O14/(1+$B$29)^8</f>
        <v>127.37722282819782</v>
      </c>
      <c r="P17" s="23">
        <f>P14/(1+$B$29)^9</f>
        <v>129.6576824053495</v>
      </c>
      <c r="Q17" s="23">
        <f>Q14/(1+$B$29)^10</f>
        <v>132.94032968297216</v>
      </c>
      <c r="R17" s="26">
        <f>(R14/(B29-R11))/(1+B29)^10</f>
        <v>2461.2926300452682</v>
      </c>
    </row>
    <row r="18" spans="1:18" ht="15" x14ac:dyDescent="0.2"/>
    <row r="19" spans="1:18" ht="15" x14ac:dyDescent="0.2">
      <c r="A19" s="19" t="s">
        <v>23</v>
      </c>
      <c r="B19" s="11"/>
    </row>
    <row r="20" spans="1:18" ht="15" x14ac:dyDescent="0.2">
      <c r="B20" s="13"/>
    </row>
    <row r="21" spans="1:18" ht="15" x14ac:dyDescent="0.2">
      <c r="A21" t="s">
        <v>10</v>
      </c>
      <c r="B21" s="14">
        <v>2.5839999999999998E-2</v>
      </c>
    </row>
    <row r="22" spans="1:18" ht="15" x14ac:dyDescent="0.2">
      <c r="B22" s="13"/>
    </row>
    <row r="23" spans="1:18" x14ac:dyDescent="0.2">
      <c r="A23" t="s">
        <v>11</v>
      </c>
      <c r="B23" s="14">
        <f>(B25-B21)*B27</f>
        <v>4.9900800000000002E-2</v>
      </c>
    </row>
    <row r="24" spans="1:18" ht="15" x14ac:dyDescent="0.2">
      <c r="B24" s="13"/>
    </row>
    <row r="25" spans="1:18" ht="15" x14ac:dyDescent="0.2">
      <c r="A25" t="s">
        <v>12</v>
      </c>
      <c r="B25" s="14">
        <v>7.0000000000000007E-2</v>
      </c>
    </row>
    <row r="26" spans="1:18" ht="15" x14ac:dyDescent="0.2">
      <c r="B26" s="13"/>
    </row>
    <row r="27" spans="1:18" ht="15" x14ac:dyDescent="0.2">
      <c r="A27" t="s">
        <v>13</v>
      </c>
      <c r="B27" s="15">
        <v>1.1299999999999999</v>
      </c>
    </row>
    <row r="28" spans="1:18" ht="15" x14ac:dyDescent="0.2">
      <c r="B28" s="13"/>
    </row>
    <row r="29" spans="1:18" ht="15" x14ac:dyDescent="0.2">
      <c r="A29" s="17" t="s">
        <v>14</v>
      </c>
      <c r="B29" s="18">
        <f>B21+(B25-B21)*B27</f>
        <v>7.5740799999999997E-2</v>
      </c>
    </row>
    <row r="30" spans="1:18" ht="15" x14ac:dyDescent="0.2"/>
    <row r="31" spans="1:18" ht="15" x14ac:dyDescent="0.2">
      <c r="A31" s="2"/>
      <c r="B31" s="2"/>
      <c r="C31" s="30">
        <v>45247</v>
      </c>
      <c r="D31" s="31" t="s">
        <v>15</v>
      </c>
    </row>
    <row r="32" spans="1:18" ht="15" x14ac:dyDescent="0.2">
      <c r="A32" s="6" t="s">
        <v>16</v>
      </c>
      <c r="B32" s="6" t="s">
        <v>17</v>
      </c>
      <c r="C32" s="8">
        <f>C33*C34</f>
        <v>2214.96765</v>
      </c>
      <c r="D32" s="8">
        <f>SUM(H17:R17)</f>
        <v>3532.7515293087422</v>
      </c>
    </row>
    <row r="33" spans="1:4" ht="15" x14ac:dyDescent="0.2">
      <c r="A33" s="6"/>
      <c r="B33" s="6" t="s">
        <v>6</v>
      </c>
      <c r="C33" s="8">
        <v>161.03</v>
      </c>
      <c r="D33" s="8">
        <f>C33</f>
        <v>161.03</v>
      </c>
    </row>
    <row r="34" spans="1:4" ht="15" x14ac:dyDescent="0.2">
      <c r="A34" s="6"/>
      <c r="B34" s="6" t="s">
        <v>18</v>
      </c>
      <c r="C34" s="8">
        <v>13.755000000000001</v>
      </c>
      <c r="D34" s="8">
        <f>D32/D33</f>
        <v>21.938468169339515</v>
      </c>
    </row>
    <row r="35" spans="1:4" ht="15" x14ac:dyDescent="0.2">
      <c r="A35" s="6"/>
      <c r="B35" s="6" t="s">
        <v>19</v>
      </c>
      <c r="C35" s="6"/>
      <c r="D35" s="9">
        <f>IF(C34/D34-1&gt;0,0,C34/D34-1)*-1</f>
        <v>0.3730191235856869</v>
      </c>
    </row>
    <row r="36" spans="1:4" x14ac:dyDescent="0.2">
      <c r="A36" s="6"/>
      <c r="B36" s="6" t="s">
        <v>20</v>
      </c>
      <c r="C36" s="6"/>
      <c r="D36" s="9">
        <f>IF(C34/D34-1&lt;0,0,C34/D34-1)</f>
        <v>0</v>
      </c>
    </row>
    <row r="37" spans="1:4" ht="15" x14ac:dyDescent="0.2">
      <c r="A37" s="24"/>
      <c r="B37" s="24"/>
      <c r="C37" s="24"/>
      <c r="D37" s="24"/>
    </row>
    <row r="38" spans="1:4" ht="15" x14ac:dyDescent="0.2">
      <c r="A38" s="25" t="s">
        <v>22</v>
      </c>
      <c r="B38" s="10"/>
      <c r="C38" s="10"/>
      <c r="D38" s="11"/>
    </row>
    <row r="39" spans="1:4" ht="15" x14ac:dyDescent="0.2">
      <c r="A39" s="12"/>
      <c r="D39" s="13"/>
    </row>
    <row r="40" spans="1:4" ht="15" x14ac:dyDescent="0.2">
      <c r="A40" s="12" t="str">
        <f>"KGV in "&amp;Q9&amp;":"</f>
        <v>KGV in 2032:</v>
      </c>
      <c r="D40" s="15">
        <v>23</v>
      </c>
    </row>
    <row r="41" spans="1:4" ht="15" x14ac:dyDescent="0.2">
      <c r="A41" s="12"/>
      <c r="D41" s="13"/>
    </row>
    <row r="42" spans="1:4" ht="15" x14ac:dyDescent="0.2">
      <c r="A42" s="12" t="str">
        <f>"Aktienkurs in "&amp;Q9&amp;":"</f>
        <v>Aktienkurs in 2032:</v>
      </c>
      <c r="D42" s="15">
        <f>Q16*D40</f>
        <v>32.97255903187979</v>
      </c>
    </row>
    <row r="43" spans="1:4" ht="15" x14ac:dyDescent="0.2">
      <c r="A43" s="12"/>
      <c r="D43" s="13"/>
    </row>
    <row r="44" spans="1:4" x14ac:dyDescent="0.2">
      <c r="A44" s="12" t="s">
        <v>24</v>
      </c>
      <c r="D44" s="14">
        <v>0.1</v>
      </c>
    </row>
    <row r="45" spans="1:4" ht="15" x14ac:dyDescent="0.2">
      <c r="A45" s="12"/>
      <c r="D45" s="13"/>
    </row>
    <row r="46" spans="1:4" x14ac:dyDescent="0.2">
      <c r="A46" s="12" t="s">
        <v>25</v>
      </c>
      <c r="D46" s="15">
        <f>D44*SUM(H16:Q16)</f>
        <v>0.94770105360924684</v>
      </c>
    </row>
    <row r="47" spans="1:4" ht="15" x14ac:dyDescent="0.2">
      <c r="A47" s="12"/>
      <c r="D47" s="13"/>
    </row>
    <row r="48" spans="1:4" ht="15" x14ac:dyDescent="0.2">
      <c r="A48" s="12" t="s">
        <v>26</v>
      </c>
      <c r="D48" s="14">
        <v>0</v>
      </c>
    </row>
    <row r="49" spans="1:4" ht="15" x14ac:dyDescent="0.2">
      <c r="A49" s="12"/>
      <c r="D49" s="13"/>
    </row>
    <row r="50" spans="1:4" ht="15" x14ac:dyDescent="0.2">
      <c r="A50" s="12" t="str">
        <f>"Gesamtwert "&amp;Q9</f>
        <v>Gesamtwert 2032</v>
      </c>
      <c r="D50" s="15">
        <f>D42+D46*(1-D48)</f>
        <v>33.920260085489033</v>
      </c>
    </row>
    <row r="51" spans="1:4" ht="15" x14ac:dyDescent="0.2">
      <c r="A51" s="12"/>
      <c r="D51" s="13"/>
    </row>
    <row r="52" spans="1:4" ht="15" x14ac:dyDescent="0.2">
      <c r="A52" s="12" t="str">
        <f>"Steigerung bis "&amp;Q9</f>
        <v>Steigerung bis 2032</v>
      </c>
      <c r="D52" s="14">
        <f>D50/C34-1</f>
        <v>1.4660312675746296</v>
      </c>
    </row>
    <row r="53" spans="1:4" ht="15" x14ac:dyDescent="0.2">
      <c r="A53" s="12"/>
      <c r="D53" s="13"/>
    </row>
    <row r="54" spans="1:4" ht="15" x14ac:dyDescent="0.2">
      <c r="A54" s="27" t="str">
        <f>"Renditeerwartung bis "&amp;Q9&amp;" pro Jahr"</f>
        <v>Renditeerwartung bis 2032 pro Jahr</v>
      </c>
      <c r="B54" s="28"/>
      <c r="C54" s="28"/>
      <c r="D54" s="29">
        <f>(D50/C34)^(1/10)-1</f>
        <v>9.4459909672579334E-2</v>
      </c>
    </row>
    <row r="55" spans="1:4" ht="15" x14ac:dyDescent="0.2"/>
    <row r="56" spans="1:4" ht="15" x14ac:dyDescent="0.2"/>
    <row r="57" spans="1:4" ht="15" x14ac:dyDescent="0.2"/>
    <row r="58" spans="1:4" ht="15" x14ac:dyDescent="0.2"/>
    <row r="59" spans="1:4" ht="15" x14ac:dyDescent="0.2"/>
    <row r="60" spans="1:4" ht="15" x14ac:dyDescent="0.2"/>
    <row r="61" spans="1:4" ht="15" x14ac:dyDescent="0.2"/>
    <row r="62" spans="1:4" ht="15" x14ac:dyDescent="0.2"/>
    <row r="63" spans="1:4" ht="15" x14ac:dyDescent="0.2"/>
    <row r="64" spans="1:4" ht="15" x14ac:dyDescent="0.2"/>
    <row r="65" ht="15" x14ac:dyDescent="0.2"/>
  </sheetData>
  <pageMargins left="0.7" right="0.7" top="0.78740157499999996" bottom="0.78740157499999996" header="0.3" footer="0.3"/>
  <pageSetup paperSize="9" orientation="portrait" horizontalDpi="0" verticalDpi="0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233D2-1A79-F24B-87BC-A444AEB36AB7}">
  <dimension ref="A1:S65"/>
  <sheetViews>
    <sheetView showGridLines="0" showRowColHeaders="0" workbookViewId="0"/>
  </sheetViews>
  <sheetFormatPr baseColWidth="10" defaultColWidth="0" defaultRowHeight="16" zeroHeight="1" x14ac:dyDescent="0.2"/>
  <cols>
    <col min="1" max="1" width="22.5" customWidth="1"/>
    <col min="2" max="2" width="35" customWidth="1"/>
    <col min="3" max="18" width="13.33203125" customWidth="1"/>
    <col min="19" max="19" width="10.83203125" customWidth="1"/>
    <col min="20" max="16384" width="10.83203125" hidden="1"/>
  </cols>
  <sheetData>
    <row r="1" spans="1:18" ht="15" x14ac:dyDescent="0.2"/>
    <row r="2" spans="1:18" ht="25.5" x14ac:dyDescent="0.35">
      <c r="B2" s="20" t="s">
        <v>0</v>
      </c>
    </row>
    <row r="3" spans="1:18" ht="15" x14ac:dyDescent="0.2"/>
    <row r="4" spans="1:18" ht="15" x14ac:dyDescent="0.2">
      <c r="B4" t="str">
        <f>Optimistisch!B4</f>
        <v>Annahmen für Encavis</v>
      </c>
    </row>
    <row r="5" spans="1:18" ht="15" x14ac:dyDescent="0.2"/>
    <row r="6" spans="1:18" ht="15" x14ac:dyDescent="0.2">
      <c r="B6" t="str">
        <f>Optimistisch!B6</f>
        <v>Alle Angaben in Mio.</v>
      </c>
    </row>
    <row r="7" spans="1:18" ht="15" x14ac:dyDescent="0.2"/>
    <row r="8" spans="1:18" x14ac:dyDescent="0.2">
      <c r="A8" s="2"/>
      <c r="B8" s="2"/>
      <c r="C8" s="2"/>
      <c r="D8" s="2"/>
      <c r="E8" s="2"/>
      <c r="F8" s="2"/>
      <c r="G8" s="2"/>
      <c r="H8" s="3" t="s">
        <v>8</v>
      </c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5" x14ac:dyDescent="0.2">
      <c r="C9">
        <f>Optimistisch!C9</f>
        <v>2018</v>
      </c>
      <c r="D9">
        <f>C9+1</f>
        <v>2019</v>
      </c>
      <c r="E9">
        <f t="shared" ref="E9:Q9" si="0">D9+1</f>
        <v>2020</v>
      </c>
      <c r="F9">
        <f t="shared" si="0"/>
        <v>2021</v>
      </c>
      <c r="G9">
        <f t="shared" si="0"/>
        <v>2022</v>
      </c>
      <c r="H9" s="6">
        <f t="shared" si="0"/>
        <v>2023</v>
      </c>
      <c r="I9" s="6">
        <f t="shared" si="0"/>
        <v>2024</v>
      </c>
      <c r="J9" s="6">
        <f t="shared" si="0"/>
        <v>2025</v>
      </c>
      <c r="K9" s="6">
        <f t="shared" si="0"/>
        <v>2026</v>
      </c>
      <c r="L9" s="6">
        <f t="shared" si="0"/>
        <v>2027</v>
      </c>
      <c r="M9" s="6">
        <f t="shared" si="0"/>
        <v>2028</v>
      </c>
      <c r="N9" s="6">
        <f t="shared" si="0"/>
        <v>2029</v>
      </c>
      <c r="O9" s="6">
        <f t="shared" si="0"/>
        <v>2030</v>
      </c>
      <c r="P9" s="6">
        <f t="shared" si="0"/>
        <v>2031</v>
      </c>
      <c r="Q9" s="6">
        <f t="shared" si="0"/>
        <v>2032</v>
      </c>
      <c r="R9" s="7" t="str">
        <f>Q9+1&amp;"ff."</f>
        <v>2033ff.</v>
      </c>
    </row>
    <row r="10" spans="1:18" ht="15" x14ac:dyDescent="0.2">
      <c r="B10" t="s">
        <v>1</v>
      </c>
      <c r="C10" s="4">
        <f>Optimistisch!C10</f>
        <v>248.785</v>
      </c>
      <c r="D10" s="4">
        <f>Optimistisch!D10</f>
        <v>273.822</v>
      </c>
      <c r="E10" s="4">
        <f>Optimistisch!E10</f>
        <v>292.3</v>
      </c>
      <c r="F10" s="4">
        <f>Optimistisch!F10</f>
        <v>332.70299999999997</v>
      </c>
      <c r="G10" s="4">
        <f>Optimistisch!G10</f>
        <v>487.34199999999998</v>
      </c>
      <c r="H10" s="8">
        <f>Optimistisch!H10</f>
        <v>458.3</v>
      </c>
      <c r="I10" s="8">
        <f>Optimistisch!I10</f>
        <v>497.68</v>
      </c>
      <c r="J10" s="8">
        <f>Optimistisch!J10</f>
        <v>553.34</v>
      </c>
      <c r="K10" s="8">
        <f>J10*(1+K11)</f>
        <v>636.34100000000001</v>
      </c>
      <c r="L10" s="8">
        <f t="shared" ref="L10:R10" si="1">K10*(1+L11)</f>
        <v>706.33851000000004</v>
      </c>
      <c r="M10" s="8">
        <f t="shared" si="1"/>
        <v>776.97236100000009</v>
      </c>
      <c r="N10" s="8">
        <f t="shared" si="1"/>
        <v>846.89987349000012</v>
      </c>
      <c r="O10" s="8">
        <f t="shared" si="1"/>
        <v>918.88636273665009</v>
      </c>
      <c r="P10" s="8">
        <f t="shared" si="1"/>
        <v>992.39727175558221</v>
      </c>
      <c r="Q10" s="8">
        <f t="shared" si="1"/>
        <v>1066.8270671372509</v>
      </c>
      <c r="R10" s="8">
        <f t="shared" si="1"/>
        <v>1082.8294731443095</v>
      </c>
    </row>
    <row r="11" spans="1:18" ht="15" x14ac:dyDescent="0.2">
      <c r="B11" t="s">
        <v>2</v>
      </c>
      <c r="C11" s="1" t="s">
        <v>9</v>
      </c>
      <c r="D11" s="5">
        <f>D10/C10-1</f>
        <v>0.10063709628795947</v>
      </c>
      <c r="E11" s="5">
        <f t="shared" ref="E11:J11" si="2">E10/D10-1</f>
        <v>6.74817947425701E-2</v>
      </c>
      <c r="F11" s="5">
        <f t="shared" si="2"/>
        <v>0.13822442695860415</v>
      </c>
      <c r="G11" s="5">
        <f>G10/F10-1</f>
        <v>0.4647959291019319</v>
      </c>
      <c r="H11" s="9">
        <f t="shared" si="2"/>
        <v>-5.9592647463177717E-2</v>
      </c>
      <c r="I11" s="9">
        <f t="shared" si="2"/>
        <v>8.5926249181758729E-2</v>
      </c>
      <c r="J11" s="9">
        <f t="shared" si="2"/>
        <v>0.11183893264748446</v>
      </c>
      <c r="K11" s="9">
        <v>0.15</v>
      </c>
      <c r="L11" s="9">
        <v>0.11</v>
      </c>
      <c r="M11" s="9">
        <v>0.1</v>
      </c>
      <c r="N11" s="9">
        <v>0.09</v>
      </c>
      <c r="O11" s="9">
        <v>8.5000000000000006E-2</v>
      </c>
      <c r="P11" s="9">
        <v>0.08</v>
      </c>
      <c r="Q11" s="9">
        <v>7.4999999999999997E-2</v>
      </c>
      <c r="R11" s="9">
        <v>1.4999999999999999E-2</v>
      </c>
    </row>
    <row r="12" spans="1:18" ht="15" x14ac:dyDescent="0.2">
      <c r="B12" t="s">
        <v>3</v>
      </c>
      <c r="C12" s="5">
        <f>C13/C10</f>
        <v>0.28762184215286291</v>
      </c>
      <c r="D12" s="5">
        <f t="shared" ref="D12:J12" si="3">D13/D10</f>
        <v>0.33388843847462951</v>
      </c>
      <c r="E12" s="5">
        <f t="shared" si="3"/>
        <v>0.3141464249059186</v>
      </c>
      <c r="F12" s="5">
        <f t="shared" si="3"/>
        <v>0.38727333387435647</v>
      </c>
      <c r="G12" s="5">
        <f t="shared" si="3"/>
        <v>0.33214252003726336</v>
      </c>
      <c r="H12" s="9">
        <f t="shared" si="3"/>
        <v>0.38579999999999998</v>
      </c>
      <c r="I12" s="9">
        <f t="shared" si="3"/>
        <v>0.38529999999999998</v>
      </c>
      <c r="J12" s="9">
        <f t="shared" si="3"/>
        <v>0.39279999999999998</v>
      </c>
      <c r="K12" s="9">
        <v>0.4</v>
      </c>
      <c r="L12" s="9">
        <v>0.2</v>
      </c>
      <c r="M12" s="9">
        <v>0.25</v>
      </c>
      <c r="N12" s="9">
        <v>0.39</v>
      </c>
      <c r="O12" s="9">
        <v>0.38500000000000001</v>
      </c>
      <c r="P12" s="9">
        <v>0.38</v>
      </c>
      <c r="Q12" s="9">
        <v>0.37</v>
      </c>
      <c r="R12" s="9">
        <v>0.36</v>
      </c>
    </row>
    <row r="13" spans="1:18" ht="15" x14ac:dyDescent="0.2">
      <c r="B13" t="s">
        <v>4</v>
      </c>
      <c r="C13" s="4">
        <f>Optimistisch!C13</f>
        <v>71.555999999999997</v>
      </c>
      <c r="D13" s="4">
        <f>Optimistisch!D13</f>
        <v>91.426000000000002</v>
      </c>
      <c r="E13" s="4">
        <f>Optimistisch!E13</f>
        <v>91.825000000000003</v>
      </c>
      <c r="F13" s="4">
        <f>Optimistisch!F13</f>
        <v>128.84700000000001</v>
      </c>
      <c r="G13" s="4">
        <f>Optimistisch!G13</f>
        <v>161.86699999999999</v>
      </c>
      <c r="H13" s="8">
        <f>Optimistisch!H13</f>
        <v>176.81214</v>
      </c>
      <c r="I13" s="8">
        <f>Optimistisch!I13</f>
        <v>191.75610399999999</v>
      </c>
      <c r="J13" s="8">
        <f>Optimistisch!J13</f>
        <v>217.35195200000001</v>
      </c>
      <c r="K13" s="8">
        <f>K10*K12</f>
        <v>254.53640000000001</v>
      </c>
      <c r="L13" s="8">
        <f t="shared" ref="L13:R13" si="4">L10*L12</f>
        <v>141.26770200000001</v>
      </c>
      <c r="M13" s="8">
        <f t="shared" si="4"/>
        <v>194.24309025000002</v>
      </c>
      <c r="N13" s="8">
        <f t="shared" si="4"/>
        <v>330.29095066110006</v>
      </c>
      <c r="O13" s="8">
        <f t="shared" si="4"/>
        <v>353.77124965361031</v>
      </c>
      <c r="P13" s="8">
        <f t="shared" si="4"/>
        <v>377.11096326712124</v>
      </c>
      <c r="Q13" s="8">
        <f t="shared" si="4"/>
        <v>394.7260148407828</v>
      </c>
      <c r="R13" s="8">
        <f t="shared" si="4"/>
        <v>389.81861033195139</v>
      </c>
    </row>
    <row r="14" spans="1:18" ht="15" x14ac:dyDescent="0.2">
      <c r="A14" s="9">
        <v>0.55000000000000004</v>
      </c>
      <c r="B14" t="s">
        <v>5</v>
      </c>
      <c r="C14" s="4">
        <f>Optimistisch!C14</f>
        <v>5.1130000000000004</v>
      </c>
      <c r="D14" s="4">
        <f>Optimistisch!D14</f>
        <v>22.189</v>
      </c>
      <c r="E14" s="4">
        <f>Optimistisch!E14</f>
        <v>10.141999999999999</v>
      </c>
      <c r="F14" s="4">
        <f>Optimistisch!F14</f>
        <v>75.322999999999993</v>
      </c>
      <c r="G14" s="4">
        <f>Optimistisch!G14</f>
        <v>78.489999999999995</v>
      </c>
      <c r="H14" s="8">
        <f>Optimistisch!H14</f>
        <v>82.035700000000006</v>
      </c>
      <c r="I14" s="8">
        <f>Optimistisch!I14</f>
        <v>82.614879999999999</v>
      </c>
      <c r="J14" s="8">
        <f>Optimistisch!J14</f>
        <v>96.834500000000006</v>
      </c>
      <c r="K14" s="8">
        <f>K13*(1-$A$14)</f>
        <v>114.54137999999999</v>
      </c>
      <c r="L14" s="8">
        <f t="shared" ref="L14:R14" si="5">L13*(1-$A$14)</f>
        <v>63.570465900000002</v>
      </c>
      <c r="M14" s="8">
        <f t="shared" si="5"/>
        <v>87.409390612500005</v>
      </c>
      <c r="N14" s="8">
        <f t="shared" si="5"/>
        <v>148.63092779749502</v>
      </c>
      <c r="O14" s="8">
        <f t="shared" si="5"/>
        <v>159.19706234412462</v>
      </c>
      <c r="P14" s="8">
        <f t="shared" si="5"/>
        <v>169.69993347020454</v>
      </c>
      <c r="Q14" s="8">
        <f t="shared" si="5"/>
        <v>177.62670667835224</v>
      </c>
      <c r="R14" s="8">
        <f t="shared" si="5"/>
        <v>175.41837464937811</v>
      </c>
    </row>
    <row r="15" spans="1:18" x14ac:dyDescent="0.2">
      <c r="A15" s="9">
        <v>1.03</v>
      </c>
      <c r="B15" t="s">
        <v>27</v>
      </c>
      <c r="H15" s="8">
        <f>C33</f>
        <v>161.03</v>
      </c>
      <c r="I15" s="8">
        <f>H15*$A$15</f>
        <v>165.86090000000002</v>
      </c>
      <c r="J15" s="8">
        <f t="shared" ref="J15:Q15" si="6">I15*$A$15</f>
        <v>170.83672700000002</v>
      </c>
      <c r="K15" s="8">
        <f t="shared" si="6"/>
        <v>175.96182881000004</v>
      </c>
      <c r="L15" s="8">
        <f t="shared" si="6"/>
        <v>181.24068367430004</v>
      </c>
      <c r="M15" s="8">
        <f t="shared" si="6"/>
        <v>186.67790418452904</v>
      </c>
      <c r="N15" s="8">
        <f t="shared" si="6"/>
        <v>192.27824131006491</v>
      </c>
      <c r="O15" s="8">
        <f t="shared" si="6"/>
        <v>198.04658854936687</v>
      </c>
      <c r="P15" s="8">
        <f t="shared" si="6"/>
        <v>203.98798620584787</v>
      </c>
      <c r="Q15" s="8">
        <f t="shared" si="6"/>
        <v>210.10762579202333</v>
      </c>
      <c r="R15" s="7" t="s">
        <v>9</v>
      </c>
    </row>
    <row r="16" spans="1:18" ht="15" x14ac:dyDescent="0.2">
      <c r="B16" t="s">
        <v>7</v>
      </c>
      <c r="H16" s="8">
        <f>H14/H15</f>
        <v>0.50944358194125317</v>
      </c>
      <c r="I16" s="8">
        <f t="shared" ref="I16:P16" si="7">I14/I15</f>
        <v>0.49809738160108857</v>
      </c>
      <c r="J16" s="8">
        <f t="shared" si="7"/>
        <v>0.5668248373782061</v>
      </c>
      <c r="K16" s="8">
        <f t="shared" si="7"/>
        <v>0.65094447343849449</v>
      </c>
      <c r="L16" s="8">
        <f t="shared" si="7"/>
        <v>0.35075163374598495</v>
      </c>
      <c r="M16" s="8">
        <f t="shared" si="7"/>
        <v>0.46823640427255275</v>
      </c>
      <c r="N16" s="8">
        <f t="shared" si="7"/>
        <v>0.77299920565538716</v>
      </c>
      <c r="O16" s="8">
        <f t="shared" si="7"/>
        <v>0.80383642813641154</v>
      </c>
      <c r="P16" s="8">
        <f t="shared" si="7"/>
        <v>0.83191141118946754</v>
      </c>
      <c r="Q16" s="8">
        <f>Q14/Q15</f>
        <v>0.84540818548955199</v>
      </c>
      <c r="R16" s="7" t="s">
        <v>9</v>
      </c>
    </row>
    <row r="17" spans="1:18" ht="15" x14ac:dyDescent="0.2">
      <c r="F17" s="21" t="s">
        <v>21</v>
      </c>
      <c r="G17" s="22"/>
      <c r="H17" s="23">
        <f>H14/(1+$B$29)</f>
        <v>76.259727250281856</v>
      </c>
      <c r="I17" s="23">
        <f>I14/(1+$B$29)^2</f>
        <v>71.3909227226128</v>
      </c>
      <c r="J17" s="23">
        <f>J14/(1+$B$29)^3</f>
        <v>77.787030496868397</v>
      </c>
      <c r="K17" s="23">
        <f>K14/(1+$B$29)^4</f>
        <v>85.532634483015968</v>
      </c>
      <c r="L17" s="23">
        <f>L14/(1+$B$29)^5</f>
        <v>44.128299436140999</v>
      </c>
      <c r="M17" s="23">
        <f>M14/(1+$B$29)^6</f>
        <v>56.404304572898852</v>
      </c>
      <c r="N17" s="23">
        <f>N14/(1+$B$29)^7</f>
        <v>89.157052977592031</v>
      </c>
      <c r="O17" s="23">
        <f>O14/(1+$B$29)^8</f>
        <v>88.771574911899066</v>
      </c>
      <c r="P17" s="23">
        <f>P14/(1+$B$29)^9</f>
        <v>87.965607608163509</v>
      </c>
      <c r="Q17" s="23">
        <f>Q14/(1+$B$29)^10</f>
        <v>85.591740535665309</v>
      </c>
      <c r="R17" s="26">
        <f>(R14/(B29-R11))/(1+B29)^10</f>
        <v>1391.6120137482774</v>
      </c>
    </row>
    <row r="18" spans="1:18" ht="15" x14ac:dyDescent="0.2"/>
    <row r="19" spans="1:18" ht="15" x14ac:dyDescent="0.2">
      <c r="A19" s="19" t="s">
        <v>23</v>
      </c>
      <c r="B19" s="11"/>
    </row>
    <row r="20" spans="1:18" ht="15" x14ac:dyDescent="0.2">
      <c r="B20" s="13"/>
    </row>
    <row r="21" spans="1:18" ht="15" x14ac:dyDescent="0.2">
      <c r="A21" t="s">
        <v>10</v>
      </c>
      <c r="B21" s="14">
        <f>Optimistisch!B21</f>
        <v>2.5839999999999998E-2</v>
      </c>
    </row>
    <row r="22" spans="1:18" ht="15" x14ac:dyDescent="0.2">
      <c r="B22" s="13"/>
    </row>
    <row r="23" spans="1:18" x14ac:dyDescent="0.2">
      <c r="A23" t="s">
        <v>11</v>
      </c>
      <c r="B23" s="14">
        <f>(B25-B21)*B27</f>
        <v>4.9900800000000002E-2</v>
      </c>
    </row>
    <row r="24" spans="1:18" ht="15" x14ac:dyDescent="0.2">
      <c r="B24" s="13"/>
    </row>
    <row r="25" spans="1:18" ht="15" x14ac:dyDescent="0.2">
      <c r="A25" t="s">
        <v>12</v>
      </c>
      <c r="B25" s="14">
        <f>Optimistisch!B25</f>
        <v>7.0000000000000007E-2</v>
      </c>
    </row>
    <row r="26" spans="1:18" ht="15" x14ac:dyDescent="0.2">
      <c r="B26" s="13"/>
    </row>
    <row r="27" spans="1:18" ht="15" x14ac:dyDescent="0.2">
      <c r="A27" t="s">
        <v>13</v>
      </c>
      <c r="B27" s="15">
        <f>Optimistisch!B27</f>
        <v>1.1299999999999999</v>
      </c>
    </row>
    <row r="28" spans="1:18" ht="15" x14ac:dyDescent="0.2">
      <c r="B28" s="13"/>
    </row>
    <row r="29" spans="1:18" ht="15" x14ac:dyDescent="0.2">
      <c r="A29" s="17" t="s">
        <v>14</v>
      </c>
      <c r="B29" s="18">
        <f>B21+(B25-B21)*B27</f>
        <v>7.5740799999999997E-2</v>
      </c>
    </row>
    <row r="30" spans="1:18" ht="15" x14ac:dyDescent="0.2"/>
    <row r="31" spans="1:18" ht="15" x14ac:dyDescent="0.2">
      <c r="A31" s="2"/>
      <c r="B31" s="2"/>
      <c r="C31" s="30">
        <f>Optimistisch!C31</f>
        <v>45247</v>
      </c>
      <c r="D31" s="31" t="s">
        <v>15</v>
      </c>
    </row>
    <row r="32" spans="1:18" ht="15" x14ac:dyDescent="0.2">
      <c r="A32" s="6" t="s">
        <v>16</v>
      </c>
      <c r="B32" s="6" t="s">
        <v>17</v>
      </c>
      <c r="C32" s="8">
        <f>C33*C34</f>
        <v>2214.96765</v>
      </c>
      <c r="D32" s="8">
        <f>SUM(H17:R17)</f>
        <v>2154.6009087434159</v>
      </c>
    </row>
    <row r="33" spans="1:4" ht="15" x14ac:dyDescent="0.2">
      <c r="A33" s="6"/>
      <c r="B33" s="6" t="s">
        <v>6</v>
      </c>
      <c r="C33" s="8">
        <f>Optimistisch!C33</f>
        <v>161.03</v>
      </c>
      <c r="D33" s="8">
        <f>C33</f>
        <v>161.03</v>
      </c>
    </row>
    <row r="34" spans="1:4" ht="15" x14ac:dyDescent="0.2">
      <c r="A34" s="6"/>
      <c r="B34" s="6" t="s">
        <v>18</v>
      </c>
      <c r="C34" s="8">
        <f>Optimistisch!C34</f>
        <v>13.755000000000001</v>
      </c>
      <c r="D34" s="8">
        <f>D32/D33</f>
        <v>13.380121149744866</v>
      </c>
    </row>
    <row r="35" spans="1:4" ht="15" x14ac:dyDescent="0.2">
      <c r="A35" s="6"/>
      <c r="B35" s="6" t="s">
        <v>19</v>
      </c>
      <c r="C35" s="6"/>
      <c r="D35" s="9">
        <f>IF(C34/D34-1&gt;0,0,C34/D34-1)*-1</f>
        <v>0</v>
      </c>
    </row>
    <row r="36" spans="1:4" x14ac:dyDescent="0.2">
      <c r="A36" s="6"/>
      <c r="B36" s="6" t="s">
        <v>20</v>
      </c>
      <c r="C36" s="6"/>
      <c r="D36" s="9">
        <f>IF(C34/D34-1&lt;0,0,C34/D34-1)</f>
        <v>2.8017597603164024E-2</v>
      </c>
    </row>
    <row r="37" spans="1:4" ht="15" x14ac:dyDescent="0.2">
      <c r="A37" s="24"/>
      <c r="B37" s="24"/>
      <c r="C37" s="24"/>
      <c r="D37" s="24"/>
    </row>
    <row r="38" spans="1:4" ht="15" x14ac:dyDescent="0.2">
      <c r="A38" s="25" t="s">
        <v>22</v>
      </c>
      <c r="B38" s="10"/>
      <c r="C38" s="10"/>
      <c r="D38" s="11"/>
    </row>
    <row r="39" spans="1:4" ht="15" x14ac:dyDescent="0.2">
      <c r="A39" s="12"/>
      <c r="D39" s="13"/>
    </row>
    <row r="40" spans="1:4" ht="15" x14ac:dyDescent="0.2">
      <c r="A40" s="12" t="str">
        <f>"KGV in "&amp;Q9&amp;":"</f>
        <v>KGV in 2032:</v>
      </c>
      <c r="D40" s="15">
        <v>18</v>
      </c>
    </row>
    <row r="41" spans="1:4" ht="15" x14ac:dyDescent="0.2">
      <c r="A41" s="12"/>
      <c r="D41" s="13"/>
    </row>
    <row r="42" spans="1:4" ht="15" x14ac:dyDescent="0.2">
      <c r="A42" s="12" t="str">
        <f>"Aktienkurs in "&amp;Q9&amp;":"</f>
        <v>Aktienkurs in 2032:</v>
      </c>
      <c r="D42" s="15">
        <f>Q16*D40</f>
        <v>15.217347338811935</v>
      </c>
    </row>
    <row r="43" spans="1:4" ht="15" x14ac:dyDescent="0.2">
      <c r="A43" s="12"/>
      <c r="D43" s="13"/>
    </row>
    <row r="44" spans="1:4" x14ac:dyDescent="0.2">
      <c r="A44" s="12" t="s">
        <v>24</v>
      </c>
      <c r="D44" s="14">
        <v>0</v>
      </c>
    </row>
    <row r="45" spans="1:4" ht="15" x14ac:dyDescent="0.2">
      <c r="A45" s="12"/>
      <c r="D45" s="13"/>
    </row>
    <row r="46" spans="1:4" x14ac:dyDescent="0.2">
      <c r="A46" s="12" t="s">
        <v>25</v>
      </c>
      <c r="D46" s="15">
        <f>D44*SUM(H16:Q16)</f>
        <v>0</v>
      </c>
    </row>
    <row r="47" spans="1:4" ht="15" x14ac:dyDescent="0.2">
      <c r="A47" s="12"/>
      <c r="D47" s="13"/>
    </row>
    <row r="48" spans="1:4" ht="15" x14ac:dyDescent="0.2">
      <c r="A48" s="12" t="s">
        <v>26</v>
      </c>
      <c r="D48" s="14">
        <f>Optimistisch!D48</f>
        <v>0</v>
      </c>
    </row>
    <row r="49" spans="1:4" ht="15" x14ac:dyDescent="0.2">
      <c r="A49" s="12"/>
      <c r="D49" s="13"/>
    </row>
    <row r="50" spans="1:4" ht="15" x14ac:dyDescent="0.2">
      <c r="A50" s="12" t="str">
        <f>"Gesamtwert "&amp;Q9</f>
        <v>Gesamtwert 2032</v>
      </c>
      <c r="D50" s="15">
        <f>D42+D46*(1-D48)</f>
        <v>15.217347338811935</v>
      </c>
    </row>
    <row r="51" spans="1:4" ht="15" x14ac:dyDescent="0.2">
      <c r="A51" s="12"/>
      <c r="D51" s="13"/>
    </row>
    <row r="52" spans="1:4" ht="15" x14ac:dyDescent="0.2">
      <c r="A52" s="12" t="str">
        <f>"Steigerung bis "&amp;Q9</f>
        <v>Steigerung bis 2032</v>
      </c>
      <c r="D52" s="14">
        <f>D50/C34-1</f>
        <v>0.10631387414118021</v>
      </c>
    </row>
    <row r="53" spans="1:4" ht="15" x14ac:dyDescent="0.2">
      <c r="A53" s="12"/>
      <c r="D53" s="13"/>
    </row>
    <row r="54" spans="1:4" ht="15" x14ac:dyDescent="0.2">
      <c r="A54" s="27" t="str">
        <f>"Renditeerwartung bis "&amp;Q9&amp;" pro Jahr"</f>
        <v>Renditeerwartung bis 2032 pro Jahr</v>
      </c>
      <c r="B54" s="28"/>
      <c r="C54" s="28"/>
      <c r="D54" s="29">
        <f>(D50/C34)^(1/10)-1</f>
        <v>1.0154576821794103E-2</v>
      </c>
    </row>
    <row r="55" spans="1:4" ht="15" x14ac:dyDescent="0.2"/>
    <row r="56" spans="1:4" ht="15" x14ac:dyDescent="0.2"/>
    <row r="57" spans="1:4" ht="15" x14ac:dyDescent="0.2"/>
    <row r="58" spans="1:4" ht="15" x14ac:dyDescent="0.2"/>
    <row r="59" spans="1:4" ht="15" x14ac:dyDescent="0.2"/>
    <row r="60" spans="1:4" ht="15" x14ac:dyDescent="0.2"/>
    <row r="61" spans="1:4" ht="15" x14ac:dyDescent="0.2"/>
    <row r="62" spans="1:4" ht="15" x14ac:dyDescent="0.2"/>
    <row r="63" spans="1:4" ht="15" x14ac:dyDescent="0.2"/>
    <row r="64" spans="1:4" ht="15" x14ac:dyDescent="0.2"/>
    <row r="65" ht="15" x14ac:dyDescent="0.2"/>
  </sheetData>
  <pageMargins left="0.7" right="0.7" top="0.78740157499999996" bottom="0.78740157499999996" header="0.3" footer="0.3"/>
  <picture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D1D1A-4C90-5D4F-B2EA-4FAC9D5FC900}">
  <dimension ref="A1:S65"/>
  <sheetViews>
    <sheetView showGridLines="0" showRowColHeaders="0" workbookViewId="0"/>
  </sheetViews>
  <sheetFormatPr baseColWidth="10" defaultColWidth="0" defaultRowHeight="16" zeroHeight="1" x14ac:dyDescent="0.2"/>
  <cols>
    <col min="1" max="1" width="22.5" customWidth="1"/>
    <col min="2" max="2" width="35" customWidth="1"/>
    <col min="3" max="18" width="13.33203125" customWidth="1"/>
    <col min="19" max="19" width="10.83203125" customWidth="1"/>
    <col min="20" max="16384" width="10.83203125" hidden="1"/>
  </cols>
  <sheetData>
    <row r="1" spans="1:18" ht="15" x14ac:dyDescent="0.2"/>
    <row r="2" spans="1:18" ht="25.5" x14ac:dyDescent="0.35">
      <c r="B2" s="20" t="s">
        <v>0</v>
      </c>
    </row>
    <row r="3" spans="1:18" ht="15" x14ac:dyDescent="0.2"/>
    <row r="4" spans="1:18" ht="15" x14ac:dyDescent="0.2">
      <c r="B4" t="str">
        <f>Optimistisch!B4</f>
        <v>Annahmen für Encavis</v>
      </c>
    </row>
    <row r="5" spans="1:18" ht="15" x14ac:dyDescent="0.2"/>
    <row r="6" spans="1:18" ht="15" x14ac:dyDescent="0.2">
      <c r="B6" t="str">
        <f>Optimistisch!B6</f>
        <v>Alle Angaben in Mio.</v>
      </c>
    </row>
    <row r="7" spans="1:18" ht="15" x14ac:dyDescent="0.2"/>
    <row r="8" spans="1:18" x14ac:dyDescent="0.2">
      <c r="A8" s="2"/>
      <c r="B8" s="2"/>
      <c r="C8" s="2"/>
      <c r="D8" s="2"/>
      <c r="E8" s="2"/>
      <c r="F8" s="2"/>
      <c r="G8" s="2"/>
      <c r="H8" s="3" t="s">
        <v>8</v>
      </c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5" x14ac:dyDescent="0.2">
      <c r="C9">
        <f>Optimistisch!C9</f>
        <v>2018</v>
      </c>
      <c r="D9">
        <f>C9+1</f>
        <v>2019</v>
      </c>
      <c r="E9">
        <f t="shared" ref="E9:Q9" si="0">D9+1</f>
        <v>2020</v>
      </c>
      <c r="F9">
        <f t="shared" si="0"/>
        <v>2021</v>
      </c>
      <c r="G9">
        <f t="shared" si="0"/>
        <v>2022</v>
      </c>
      <c r="H9" s="6">
        <f t="shared" si="0"/>
        <v>2023</v>
      </c>
      <c r="I9" s="6">
        <f t="shared" si="0"/>
        <v>2024</v>
      </c>
      <c r="J9" s="6">
        <f t="shared" si="0"/>
        <v>2025</v>
      </c>
      <c r="K9" s="6">
        <f t="shared" si="0"/>
        <v>2026</v>
      </c>
      <c r="L9" s="6">
        <f t="shared" si="0"/>
        <v>2027</v>
      </c>
      <c r="M9" s="6">
        <f t="shared" si="0"/>
        <v>2028</v>
      </c>
      <c r="N9" s="6">
        <f t="shared" si="0"/>
        <v>2029</v>
      </c>
      <c r="O9" s="6">
        <f t="shared" si="0"/>
        <v>2030</v>
      </c>
      <c r="P9" s="6">
        <f t="shared" si="0"/>
        <v>2031</v>
      </c>
      <c r="Q9" s="6">
        <f t="shared" si="0"/>
        <v>2032</v>
      </c>
      <c r="R9" s="7" t="str">
        <f>Q9+1&amp;"ff."</f>
        <v>2033ff.</v>
      </c>
    </row>
    <row r="10" spans="1:18" ht="15" x14ac:dyDescent="0.2">
      <c r="B10" t="s">
        <v>1</v>
      </c>
      <c r="C10" s="4">
        <f>Optimistisch!C10</f>
        <v>248.785</v>
      </c>
      <c r="D10" s="4">
        <f>Optimistisch!D10</f>
        <v>273.822</v>
      </c>
      <c r="E10" s="4">
        <f>Optimistisch!E10</f>
        <v>292.3</v>
      </c>
      <c r="F10" s="4">
        <f>Optimistisch!F10</f>
        <v>332.70299999999997</v>
      </c>
      <c r="G10" s="4">
        <f>Optimistisch!G10</f>
        <v>487.34199999999998</v>
      </c>
      <c r="H10" s="8">
        <f t="shared" ref="H10:J10" si="1">G10*(1+H11)</f>
        <v>506.83568000000002</v>
      </c>
      <c r="I10" s="8">
        <f t="shared" si="1"/>
        <v>527.10910720000004</v>
      </c>
      <c r="J10" s="8">
        <f t="shared" si="1"/>
        <v>548.19347148800011</v>
      </c>
      <c r="K10" s="8">
        <f>J10*(1+K11)</f>
        <v>570.1212103475201</v>
      </c>
      <c r="L10" s="8">
        <f t="shared" ref="L10:R10" si="2">K10*(1+L11)</f>
        <v>592.9260587614209</v>
      </c>
      <c r="M10" s="8">
        <f t="shared" si="2"/>
        <v>616.64310111187774</v>
      </c>
      <c r="N10" s="8">
        <f t="shared" si="2"/>
        <v>641.3088251563529</v>
      </c>
      <c r="O10" s="8">
        <f t="shared" si="2"/>
        <v>666.96117816260698</v>
      </c>
      <c r="P10" s="8">
        <f t="shared" si="2"/>
        <v>693.63962528911134</v>
      </c>
      <c r="Q10" s="8">
        <f t="shared" si="2"/>
        <v>721.38521030067579</v>
      </c>
      <c r="R10" s="8">
        <f t="shared" si="2"/>
        <v>735.81291450668937</v>
      </c>
    </row>
    <row r="11" spans="1:18" ht="15" x14ac:dyDescent="0.2">
      <c r="B11" t="s">
        <v>2</v>
      </c>
      <c r="C11" s="1" t="s">
        <v>9</v>
      </c>
      <c r="D11" s="5">
        <f>D10/C10-1</f>
        <v>0.10063709628795947</v>
      </c>
      <c r="E11" s="5">
        <f t="shared" ref="E11:F11" si="3">E10/D10-1</f>
        <v>6.74817947425701E-2</v>
      </c>
      <c r="F11" s="5">
        <f t="shared" si="3"/>
        <v>0.13822442695860415</v>
      </c>
      <c r="G11" s="5">
        <f>G10/F10-1</f>
        <v>0.4647959291019319</v>
      </c>
      <c r="H11" s="9">
        <v>0.04</v>
      </c>
      <c r="I11" s="9">
        <f>$H$11</f>
        <v>0.04</v>
      </c>
      <c r="J11" s="9">
        <f t="shared" ref="J11:Q11" si="4">$H$11</f>
        <v>0.04</v>
      </c>
      <c r="K11" s="9">
        <f t="shared" si="4"/>
        <v>0.04</v>
      </c>
      <c r="L11" s="9">
        <f t="shared" si="4"/>
        <v>0.04</v>
      </c>
      <c r="M11" s="9">
        <f t="shared" si="4"/>
        <v>0.04</v>
      </c>
      <c r="N11" s="9">
        <f t="shared" si="4"/>
        <v>0.04</v>
      </c>
      <c r="O11" s="9">
        <f t="shared" si="4"/>
        <v>0.04</v>
      </c>
      <c r="P11" s="9">
        <f t="shared" si="4"/>
        <v>0.04</v>
      </c>
      <c r="Q11" s="9">
        <f t="shared" si="4"/>
        <v>0.04</v>
      </c>
      <c r="R11" s="9">
        <f>Optimistisch!R11</f>
        <v>0.02</v>
      </c>
    </row>
    <row r="12" spans="1:18" ht="15" x14ac:dyDescent="0.2">
      <c r="B12" t="s">
        <v>3</v>
      </c>
      <c r="C12" s="5">
        <f>C13/C10</f>
        <v>0.28762184215286291</v>
      </c>
      <c r="D12" s="5">
        <f t="shared" ref="D12:G12" si="5">D13/D10</f>
        <v>0.33388843847462951</v>
      </c>
      <c r="E12" s="5">
        <f t="shared" si="5"/>
        <v>0.3141464249059186</v>
      </c>
      <c r="F12" s="5">
        <f t="shared" si="5"/>
        <v>0.38727333387435647</v>
      </c>
      <c r="G12" s="5">
        <f t="shared" si="5"/>
        <v>0.33214252003726336</v>
      </c>
      <c r="H12" s="9">
        <f>Optimistisch!H12</f>
        <v>0.38579999999999998</v>
      </c>
      <c r="I12" s="9">
        <f>Optimistisch!I12</f>
        <v>0.38529999999999998</v>
      </c>
      <c r="J12" s="9">
        <f>Optimistisch!J12</f>
        <v>0.39279999999999998</v>
      </c>
      <c r="K12" s="9">
        <f>Optimistisch!K12</f>
        <v>0.4</v>
      </c>
      <c r="L12" s="9">
        <f>Optimistisch!L12</f>
        <v>0.40500000000000003</v>
      </c>
      <c r="M12" s="9">
        <f>Optimistisch!M12</f>
        <v>0.41</v>
      </c>
      <c r="N12" s="9">
        <f>Optimistisch!N12</f>
        <v>0.41499999999999998</v>
      </c>
      <c r="O12" s="9">
        <f>Optimistisch!O12</f>
        <v>0.42</v>
      </c>
      <c r="P12" s="9">
        <f>Optimistisch!P12</f>
        <v>0.42</v>
      </c>
      <c r="Q12" s="9">
        <f>Optimistisch!Q12</f>
        <v>0.42499999999999999</v>
      </c>
      <c r="R12" s="9">
        <f>Optimistisch!R12</f>
        <v>0.43</v>
      </c>
    </row>
    <row r="13" spans="1:18" ht="15" x14ac:dyDescent="0.2">
      <c r="B13" t="s">
        <v>4</v>
      </c>
      <c r="C13" s="4">
        <f>Optimistisch!C13</f>
        <v>71.555999999999997</v>
      </c>
      <c r="D13" s="4">
        <f>Optimistisch!D13</f>
        <v>91.426000000000002</v>
      </c>
      <c r="E13" s="4">
        <f>Optimistisch!E13</f>
        <v>91.825000000000003</v>
      </c>
      <c r="F13" s="4">
        <f>Optimistisch!F13</f>
        <v>128.84700000000001</v>
      </c>
      <c r="G13" s="4">
        <f>Optimistisch!G13</f>
        <v>161.86699999999999</v>
      </c>
      <c r="H13" s="8">
        <f t="shared" ref="H13:J13" si="6">H10*H12</f>
        <v>195.537205344</v>
      </c>
      <c r="I13" s="8">
        <f t="shared" si="6"/>
        <v>203.09513900415999</v>
      </c>
      <c r="J13" s="8">
        <f t="shared" si="6"/>
        <v>215.33039560048644</v>
      </c>
      <c r="K13" s="8">
        <f>K10*K12</f>
        <v>228.04848413900805</v>
      </c>
      <c r="L13" s="8">
        <f t="shared" ref="L13:R13" si="7">L10*L12</f>
        <v>240.13505379837548</v>
      </c>
      <c r="M13" s="8">
        <f t="shared" si="7"/>
        <v>252.82367145586986</v>
      </c>
      <c r="N13" s="8">
        <f t="shared" si="7"/>
        <v>266.14316243988645</v>
      </c>
      <c r="O13" s="8">
        <f t="shared" si="7"/>
        <v>280.1236948282949</v>
      </c>
      <c r="P13" s="8">
        <f t="shared" si="7"/>
        <v>291.32864262142675</v>
      </c>
      <c r="Q13" s="8">
        <f t="shared" si="7"/>
        <v>306.5887143777872</v>
      </c>
      <c r="R13" s="8">
        <f t="shared" si="7"/>
        <v>316.39955323787643</v>
      </c>
    </row>
    <row r="14" spans="1:18" ht="15" x14ac:dyDescent="0.2">
      <c r="A14" s="9">
        <f>Optimistisch!A14</f>
        <v>0.5</v>
      </c>
      <c r="B14" t="s">
        <v>5</v>
      </c>
      <c r="C14" s="4">
        <f>Optimistisch!C14</f>
        <v>5.1130000000000004</v>
      </c>
      <c r="D14" s="4">
        <f>Optimistisch!D14</f>
        <v>22.189</v>
      </c>
      <c r="E14" s="4">
        <f>Optimistisch!E14</f>
        <v>10.141999999999999</v>
      </c>
      <c r="F14" s="4">
        <f>Optimistisch!F14</f>
        <v>75.322999999999993</v>
      </c>
      <c r="G14" s="4">
        <f>Optimistisch!G14</f>
        <v>78.489999999999995</v>
      </c>
      <c r="H14" s="8">
        <f>H13*(1-$A$14)</f>
        <v>97.768602672</v>
      </c>
      <c r="I14" s="8">
        <f t="shared" ref="I14:J14" si="8">I13*(1-$A$14)</f>
        <v>101.54756950207999</v>
      </c>
      <c r="J14" s="8">
        <f t="shared" si="8"/>
        <v>107.66519780024322</v>
      </c>
      <c r="K14" s="8">
        <f>K13*(1-$A$14)</f>
        <v>114.02424206950403</v>
      </c>
      <c r="L14" s="8">
        <f t="shared" ref="L14:R14" si="9">L13*(1-$A$14)</f>
        <v>120.06752689918774</v>
      </c>
      <c r="M14" s="8">
        <f t="shared" si="9"/>
        <v>126.41183572793493</v>
      </c>
      <c r="N14" s="8">
        <f t="shared" si="9"/>
        <v>133.07158121994323</v>
      </c>
      <c r="O14" s="8">
        <f t="shared" si="9"/>
        <v>140.06184741414745</v>
      </c>
      <c r="P14" s="8">
        <f t="shared" si="9"/>
        <v>145.66432131071338</v>
      </c>
      <c r="Q14" s="8">
        <f t="shared" si="9"/>
        <v>153.2943571888936</v>
      </c>
      <c r="R14" s="8">
        <f t="shared" si="9"/>
        <v>158.19977661893822</v>
      </c>
    </row>
    <row r="15" spans="1:18" x14ac:dyDescent="0.2">
      <c r="A15" s="9">
        <f>Optimistisch!A15</f>
        <v>1.02</v>
      </c>
      <c r="B15" t="s">
        <v>27</v>
      </c>
      <c r="H15" s="8">
        <f>C33</f>
        <v>161.03</v>
      </c>
      <c r="I15" s="8">
        <f>H15*$A$15</f>
        <v>164.25059999999999</v>
      </c>
      <c r="J15" s="8">
        <f t="shared" ref="J15:Q15" si="10">I15*$A$15</f>
        <v>167.53561199999999</v>
      </c>
      <c r="K15" s="8">
        <f t="shared" si="10"/>
        <v>170.88632423999999</v>
      </c>
      <c r="L15" s="8">
        <f t="shared" si="10"/>
        <v>174.30405072479999</v>
      </c>
      <c r="M15" s="8">
        <f t="shared" si="10"/>
        <v>177.79013173929599</v>
      </c>
      <c r="N15" s="8">
        <f t="shared" si="10"/>
        <v>181.34593437408191</v>
      </c>
      <c r="O15" s="8">
        <f t="shared" si="10"/>
        <v>184.97285306156354</v>
      </c>
      <c r="P15" s="8">
        <f t="shared" si="10"/>
        <v>188.67231012279481</v>
      </c>
      <c r="Q15" s="8">
        <f t="shared" si="10"/>
        <v>192.4457563252507</v>
      </c>
      <c r="R15" s="7" t="s">
        <v>9</v>
      </c>
    </row>
    <row r="16" spans="1:18" ht="15" x14ac:dyDescent="0.2">
      <c r="B16" t="s">
        <v>7</v>
      </c>
      <c r="H16" s="8">
        <f>H14/H15</f>
        <v>0.60714526903061539</v>
      </c>
      <c r="I16" s="8">
        <f t="shared" ref="I16:P16" si="11">I14/I15</f>
        <v>0.61824778419122972</v>
      </c>
      <c r="J16" s="8">
        <f t="shared" si="11"/>
        <v>0.64264066913870965</v>
      </c>
      <c r="K16" s="8">
        <f t="shared" si="11"/>
        <v>0.66725200261996132</v>
      </c>
      <c r="L16" s="8">
        <f t="shared" si="11"/>
        <v>0.68883956741060703</v>
      </c>
      <c r="M16" s="8">
        <f t="shared" si="11"/>
        <v>0.71101716665185866</v>
      </c>
      <c r="N16" s="8">
        <f t="shared" si="11"/>
        <v>0.73379963923228664</v>
      </c>
      <c r="O16" s="8">
        <f t="shared" si="11"/>
        <v>0.75720217910858201</v>
      </c>
      <c r="P16" s="8">
        <f t="shared" si="11"/>
        <v>0.77204928065973077</v>
      </c>
      <c r="Q16" s="8">
        <f>Q14/Q15</f>
        <v>0.7965587816330556</v>
      </c>
      <c r="R16" s="7" t="s">
        <v>9</v>
      </c>
    </row>
    <row r="17" spans="1:18" ht="15" x14ac:dyDescent="0.2">
      <c r="F17" s="21" t="s">
        <v>21</v>
      </c>
      <c r="G17" s="22"/>
      <c r="H17" s="23">
        <f>H14/(1+$B$29)</f>
        <v>90.884907100297767</v>
      </c>
      <c r="I17" s="23">
        <f>I14/(1+$B$29)^2</f>
        <v>87.75144001894266</v>
      </c>
      <c r="J17" s="23">
        <f>J14/(1+$B$29)^3</f>
        <v>86.487316243063034</v>
      </c>
      <c r="K17" s="23">
        <f>K14/(1+$B$29)^4</f>
        <v>85.146466885014135</v>
      </c>
      <c r="L17" s="23">
        <f>L14/(1+$B$29)^5</f>
        <v>83.346499110120106</v>
      </c>
      <c r="M17" s="23">
        <f>M14/(1+$B$29)^6</f>
        <v>81.572147272218217</v>
      </c>
      <c r="N17" s="23">
        <f>N14/(1+$B$29)^7</f>
        <v>79.82369613411224</v>
      </c>
      <c r="O17" s="23">
        <f>O14/(1+$B$29)^8</f>
        <v>78.101383260121708</v>
      </c>
      <c r="P17" s="23">
        <f>P14/(1+$B$29)^9</f>
        <v>75.506514757575999</v>
      </c>
      <c r="Q17" s="23">
        <f>Q14/(1+$B$29)^10</f>
        <v>73.866881233420031</v>
      </c>
      <c r="R17" s="26">
        <f>(R14/(B29-R11))/(1+B29)^10</f>
        <v>1367.5910900613105</v>
      </c>
    </row>
    <row r="18" spans="1:18" ht="15" x14ac:dyDescent="0.2"/>
    <row r="19" spans="1:18" ht="15" x14ac:dyDescent="0.2">
      <c r="A19" s="19" t="s">
        <v>23</v>
      </c>
      <c r="B19" s="11"/>
    </row>
    <row r="20" spans="1:18" ht="15" x14ac:dyDescent="0.2">
      <c r="B20" s="13"/>
    </row>
    <row r="21" spans="1:18" ht="15" x14ac:dyDescent="0.2">
      <c r="A21" t="s">
        <v>10</v>
      </c>
      <c r="B21" s="14">
        <f>Optimistisch!B21</f>
        <v>2.5839999999999998E-2</v>
      </c>
    </row>
    <row r="22" spans="1:18" ht="15" x14ac:dyDescent="0.2">
      <c r="B22" s="13"/>
    </row>
    <row r="23" spans="1:18" x14ac:dyDescent="0.2">
      <c r="A23" t="s">
        <v>11</v>
      </c>
      <c r="B23" s="14">
        <f>(B25-B21)*B27</f>
        <v>4.9900800000000002E-2</v>
      </c>
    </row>
    <row r="24" spans="1:18" ht="15" x14ac:dyDescent="0.2">
      <c r="B24" s="13"/>
    </row>
    <row r="25" spans="1:18" ht="15" x14ac:dyDescent="0.2">
      <c r="A25" t="s">
        <v>12</v>
      </c>
      <c r="B25" s="14">
        <f>Optimistisch!B25</f>
        <v>7.0000000000000007E-2</v>
      </c>
    </row>
    <row r="26" spans="1:18" ht="15" x14ac:dyDescent="0.2">
      <c r="B26" s="13"/>
    </row>
    <row r="27" spans="1:18" ht="15" x14ac:dyDescent="0.2">
      <c r="A27" t="s">
        <v>13</v>
      </c>
      <c r="B27" s="15">
        <f>Optimistisch!B27</f>
        <v>1.1299999999999999</v>
      </c>
    </row>
    <row r="28" spans="1:18" ht="15" x14ac:dyDescent="0.2">
      <c r="B28" s="13"/>
    </row>
    <row r="29" spans="1:18" ht="15" x14ac:dyDescent="0.2">
      <c r="A29" s="17" t="s">
        <v>14</v>
      </c>
      <c r="B29" s="18">
        <f>B21+(B25-B21)*B27</f>
        <v>7.5740799999999997E-2</v>
      </c>
    </row>
    <row r="30" spans="1:18" ht="15" x14ac:dyDescent="0.2"/>
    <row r="31" spans="1:18" ht="15" x14ac:dyDescent="0.2">
      <c r="A31" s="2"/>
      <c r="B31" s="2"/>
      <c r="C31" s="30">
        <f>Optimistisch!C31</f>
        <v>45247</v>
      </c>
      <c r="D31" s="31" t="s">
        <v>15</v>
      </c>
    </row>
    <row r="32" spans="1:18" ht="15" x14ac:dyDescent="0.2">
      <c r="A32" s="6" t="s">
        <v>16</v>
      </c>
      <c r="B32" s="6" t="s">
        <v>17</v>
      </c>
      <c r="C32" s="8">
        <f>C33*C34</f>
        <v>2214.96765</v>
      </c>
      <c r="D32" s="8">
        <f>SUM(H17:R17)</f>
        <v>2190.0783420761963</v>
      </c>
    </row>
    <row r="33" spans="1:4" ht="15" x14ac:dyDescent="0.2">
      <c r="A33" s="6"/>
      <c r="B33" s="6" t="s">
        <v>6</v>
      </c>
      <c r="C33" s="8">
        <f>Optimistisch!C33</f>
        <v>161.03</v>
      </c>
      <c r="D33" s="8">
        <f>C33</f>
        <v>161.03</v>
      </c>
    </row>
    <row r="34" spans="1:4" ht="15" x14ac:dyDescent="0.2">
      <c r="A34" s="6"/>
      <c r="B34" s="6" t="s">
        <v>18</v>
      </c>
      <c r="C34" s="8">
        <f>Optimistisch!C34</f>
        <v>13.755000000000001</v>
      </c>
      <c r="D34" s="8">
        <f>D32/D33</f>
        <v>13.600436825909435</v>
      </c>
    </row>
    <row r="35" spans="1:4" ht="15" x14ac:dyDescent="0.2">
      <c r="A35" s="6"/>
      <c r="B35" s="6" t="s">
        <v>19</v>
      </c>
      <c r="C35" s="6"/>
      <c r="D35" s="9">
        <f>IF(C34/D34-1&gt;0,0,C34/D34-1)*-1</f>
        <v>0</v>
      </c>
    </row>
    <row r="36" spans="1:4" x14ac:dyDescent="0.2">
      <c r="A36" s="6"/>
      <c r="B36" s="6" t="s">
        <v>20</v>
      </c>
      <c r="C36" s="6"/>
      <c r="D36" s="9">
        <f>IF(C34/D34-1&lt;0,0,C34/D34-1)</f>
        <v>1.1364574246329751E-2</v>
      </c>
    </row>
    <row r="37" spans="1:4" ht="15" x14ac:dyDescent="0.2">
      <c r="A37" s="24"/>
      <c r="B37" s="24"/>
      <c r="C37" s="24"/>
      <c r="D37" s="24"/>
    </row>
    <row r="38" spans="1:4" ht="15" x14ac:dyDescent="0.2">
      <c r="A38" s="25" t="s">
        <v>22</v>
      </c>
      <c r="B38" s="10"/>
      <c r="C38" s="10"/>
      <c r="D38" s="11"/>
    </row>
    <row r="39" spans="1:4" ht="15" x14ac:dyDescent="0.2">
      <c r="A39" s="12"/>
      <c r="D39" s="13"/>
    </row>
    <row r="40" spans="1:4" ht="15" x14ac:dyDescent="0.2">
      <c r="A40" s="12" t="str">
        <f>"KGV in "&amp;Q9&amp;":"</f>
        <v>KGV in 2032:</v>
      </c>
      <c r="D40" s="15">
        <v>44</v>
      </c>
    </row>
    <row r="41" spans="1:4" ht="15" x14ac:dyDescent="0.2">
      <c r="A41" s="12"/>
      <c r="D41" s="13"/>
    </row>
    <row r="42" spans="1:4" ht="15" x14ac:dyDescent="0.2">
      <c r="A42" s="12" t="str">
        <f>"Aktienkurs in "&amp;Q9&amp;":"</f>
        <v>Aktienkurs in 2032:</v>
      </c>
      <c r="D42" s="15">
        <f>Q16*D40</f>
        <v>35.04858639185445</v>
      </c>
    </row>
    <row r="43" spans="1:4" ht="15" x14ac:dyDescent="0.2">
      <c r="A43" s="12"/>
      <c r="D43" s="13"/>
    </row>
    <row r="44" spans="1:4" x14ac:dyDescent="0.2">
      <c r="A44" s="12" t="s">
        <v>24</v>
      </c>
      <c r="D44" s="14">
        <f>Optimistisch!D44</f>
        <v>0.1</v>
      </c>
    </row>
    <row r="45" spans="1:4" ht="15" x14ac:dyDescent="0.2">
      <c r="A45" s="12"/>
      <c r="D45" s="13"/>
    </row>
    <row r="46" spans="1:4" x14ac:dyDescent="0.2">
      <c r="A46" s="12" t="s">
        <v>25</v>
      </c>
      <c r="D46" s="15">
        <f>D44*SUM(H16:Q16)</f>
        <v>0.69947523396766365</v>
      </c>
    </row>
    <row r="47" spans="1:4" ht="15" x14ac:dyDescent="0.2">
      <c r="A47" s="12"/>
      <c r="D47" s="13"/>
    </row>
    <row r="48" spans="1:4" ht="15" x14ac:dyDescent="0.2">
      <c r="A48" s="12" t="s">
        <v>26</v>
      </c>
      <c r="D48" s="14">
        <f>Optimistisch!D48</f>
        <v>0</v>
      </c>
    </row>
    <row r="49" spans="1:4" ht="15" x14ac:dyDescent="0.2">
      <c r="A49" s="12"/>
      <c r="D49" s="13"/>
    </row>
    <row r="50" spans="1:4" ht="15" x14ac:dyDescent="0.2">
      <c r="A50" s="12" t="str">
        <f>"Gesamtwert "&amp;Q9</f>
        <v>Gesamtwert 2032</v>
      </c>
      <c r="D50" s="15">
        <f>D42+D46*(1-D48)</f>
        <v>35.74806162582211</v>
      </c>
    </row>
    <row r="51" spans="1:4" ht="15" x14ac:dyDescent="0.2">
      <c r="A51" s="12"/>
      <c r="D51" s="13"/>
    </row>
    <row r="52" spans="1:4" ht="15" x14ac:dyDescent="0.2">
      <c r="A52" s="12" t="str">
        <f>"Steigerung bis "&amp;Q9</f>
        <v>Steigerung bis 2032</v>
      </c>
      <c r="D52" s="14">
        <f>D50/C34-1</f>
        <v>1.5989139677078961</v>
      </c>
    </row>
    <row r="53" spans="1:4" ht="15" x14ac:dyDescent="0.2">
      <c r="A53" s="12"/>
      <c r="D53" s="13"/>
    </row>
    <row r="54" spans="1:4" ht="15" x14ac:dyDescent="0.2">
      <c r="A54" s="27" t="str">
        <f>"Renditeerwartung bis "&amp;Q9&amp;" pro Jahr"</f>
        <v>Renditeerwartung bis 2032 pro Jahr</v>
      </c>
      <c r="B54" s="28"/>
      <c r="C54" s="28"/>
      <c r="D54" s="29">
        <f>(D50/C34)^(1/10)-1</f>
        <v>0.10021912587191251</v>
      </c>
    </row>
    <row r="55" spans="1:4" ht="15" x14ac:dyDescent="0.2"/>
    <row r="56" spans="1:4" ht="15" x14ac:dyDescent="0.2"/>
    <row r="57" spans="1:4" ht="15" x14ac:dyDescent="0.2"/>
    <row r="58" spans="1:4" ht="15" x14ac:dyDescent="0.2"/>
    <row r="59" spans="1:4" ht="15" x14ac:dyDescent="0.2"/>
    <row r="60" spans="1:4" ht="15" x14ac:dyDescent="0.2"/>
    <row r="61" spans="1:4" ht="15" x14ac:dyDescent="0.2"/>
    <row r="62" spans="1:4" ht="15" x14ac:dyDescent="0.2"/>
    <row r="63" spans="1:4" ht="15" x14ac:dyDescent="0.2"/>
    <row r="64" spans="1:4" ht="15" x14ac:dyDescent="0.2"/>
    <row r="65" ht="15" x14ac:dyDescent="0.2"/>
  </sheetData>
  <pageMargins left="0.7" right="0.7" top="0.78740157499999996" bottom="0.78740157499999996" header="0.3" footer="0.3"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AC595-0A3D-DE41-8B7F-3ABB60455D02}">
  <dimension ref="A1:R55"/>
  <sheetViews>
    <sheetView showGridLines="0" showRowColHeaders="0" workbookViewId="0"/>
  </sheetViews>
  <sheetFormatPr baseColWidth="10" defaultColWidth="0" defaultRowHeight="16" zeroHeight="1" x14ac:dyDescent="0.2"/>
  <cols>
    <col min="1" max="1" width="22.5" customWidth="1"/>
    <col min="2" max="2" width="35" customWidth="1"/>
    <col min="3" max="14" width="13.33203125" customWidth="1"/>
    <col min="15" max="18" width="13.33203125" hidden="1" customWidth="1"/>
    <col min="19" max="16384" width="10.83203125" hidden="1"/>
  </cols>
  <sheetData>
    <row r="1" spans="1:18" ht="15" x14ac:dyDescent="0.2"/>
    <row r="2" spans="1:18" ht="25.5" x14ac:dyDescent="0.35">
      <c r="B2" s="20" t="s">
        <v>28</v>
      </c>
    </row>
    <row r="3" spans="1:18" ht="15" x14ac:dyDescent="0.2"/>
    <row r="4" spans="1:18" ht="15" x14ac:dyDescent="0.2">
      <c r="B4" t="str">
        <f>Optimistisch!B4</f>
        <v>Annahmen für Encavis</v>
      </c>
    </row>
    <row r="5" spans="1:18" ht="15" x14ac:dyDescent="0.2"/>
    <row r="6" spans="1:18" ht="15" x14ac:dyDescent="0.2">
      <c r="B6" t="str">
        <f>Optimistisch!B6</f>
        <v>Alle Angaben in Mio.</v>
      </c>
    </row>
    <row r="7" spans="1:18" ht="15" x14ac:dyDescent="0.2"/>
    <row r="8" spans="1:18" x14ac:dyDescent="0.2">
      <c r="A8" s="2"/>
      <c r="B8" s="2"/>
      <c r="C8" s="2"/>
      <c r="D8" s="2"/>
      <c r="E8" s="2"/>
      <c r="F8" s="2"/>
      <c r="G8" s="2"/>
      <c r="H8" s="3" t="s">
        <v>8</v>
      </c>
      <c r="I8" s="2"/>
      <c r="J8" s="2"/>
      <c r="K8" s="2"/>
      <c r="L8" s="2"/>
      <c r="M8" s="2"/>
    </row>
    <row r="9" spans="1:18" ht="15" x14ac:dyDescent="0.2">
      <c r="C9">
        <f>Optimistisch!C9</f>
        <v>2018</v>
      </c>
      <c r="D9">
        <f>C9+1</f>
        <v>2019</v>
      </c>
      <c r="E9">
        <f t="shared" ref="E9:M9" si="0">D9+1</f>
        <v>2020</v>
      </c>
      <c r="F9">
        <f t="shared" si="0"/>
        <v>2021</v>
      </c>
      <c r="G9">
        <f t="shared" si="0"/>
        <v>2022</v>
      </c>
      <c r="H9" s="6">
        <f>G9+1</f>
        <v>2023</v>
      </c>
      <c r="I9" s="6">
        <f t="shared" si="0"/>
        <v>2024</v>
      </c>
      <c r="J9" s="6">
        <f t="shared" si="0"/>
        <v>2025</v>
      </c>
      <c r="K9" s="6">
        <f t="shared" si="0"/>
        <v>2026</v>
      </c>
      <c r="L9" s="6">
        <f t="shared" si="0"/>
        <v>2027</v>
      </c>
      <c r="M9" s="6">
        <f t="shared" si="0"/>
        <v>2028</v>
      </c>
      <c r="R9" s="1"/>
    </row>
    <row r="10" spans="1:18" ht="15" x14ac:dyDescent="0.2">
      <c r="B10" t="s">
        <v>1</v>
      </c>
      <c r="C10" s="4">
        <f>Optimistisch!C10</f>
        <v>248.785</v>
      </c>
      <c r="D10" s="4">
        <f>Optimistisch!D10</f>
        <v>273.822</v>
      </c>
      <c r="E10" s="4">
        <f>Optimistisch!E10</f>
        <v>292.3</v>
      </c>
      <c r="F10" s="4">
        <f>Optimistisch!F10</f>
        <v>332.70299999999997</v>
      </c>
      <c r="G10" s="4">
        <f>Optimistisch!G10</f>
        <v>487.34199999999998</v>
      </c>
      <c r="H10" s="8">
        <f>Optimistisch!H10</f>
        <v>458.3</v>
      </c>
      <c r="I10" s="8">
        <f>Optimistisch!I10</f>
        <v>497.68</v>
      </c>
      <c r="J10" s="8">
        <f>Optimistisch!J10</f>
        <v>553.34</v>
      </c>
      <c r="K10" s="8">
        <f>(Optimistisch!K10+Pessimistisch!K10)/2</f>
        <v>664.00800000000004</v>
      </c>
      <c r="L10" s="8">
        <f>(Optimistisch!L10+Pessimistisch!L10)/2</f>
        <v>750.88238000000001</v>
      </c>
      <c r="M10" s="8">
        <f>(Optimistisch!M10+Pessimistisch!M10)/2</f>
        <v>833.92488050000009</v>
      </c>
      <c r="N10" s="4"/>
      <c r="O10" s="4"/>
      <c r="P10" s="4"/>
      <c r="Q10" s="4"/>
      <c r="R10" s="4"/>
    </row>
    <row r="11" spans="1:18" ht="15" x14ac:dyDescent="0.2">
      <c r="B11" t="s">
        <v>29</v>
      </c>
      <c r="C11" s="5">
        <f>C12/C10</f>
        <v>0.38895833752034886</v>
      </c>
      <c r="D11" s="5">
        <f>D12/D10</f>
        <v>0.67460613099020539</v>
      </c>
      <c r="E11" s="5">
        <f>E12/E10</f>
        <v>0.60892918234690385</v>
      </c>
      <c r="F11" s="5">
        <f>F12/F10</f>
        <v>0.62760780636183022</v>
      </c>
      <c r="G11" s="5">
        <f>G12/G10</f>
        <v>0.58497933689277748</v>
      </c>
      <c r="H11" s="9">
        <v>-0.16500000000000001</v>
      </c>
      <c r="I11" s="9">
        <v>-0.25</v>
      </c>
      <c r="J11" s="9">
        <v>0.51500000000000001</v>
      </c>
      <c r="K11" s="9">
        <v>0.15</v>
      </c>
      <c r="L11" s="9">
        <v>0.3</v>
      </c>
      <c r="M11" s="9">
        <v>0.25</v>
      </c>
      <c r="N11" s="5"/>
      <c r="O11" s="5"/>
      <c r="P11" s="5"/>
      <c r="Q11" s="5"/>
      <c r="R11" s="5"/>
    </row>
    <row r="12" spans="1:18" ht="15" x14ac:dyDescent="0.2">
      <c r="B12" t="s">
        <v>30</v>
      </c>
      <c r="C12" s="4">
        <v>96.766999999999996</v>
      </c>
      <c r="D12" s="4">
        <v>184.72200000000001</v>
      </c>
      <c r="E12" s="4">
        <v>177.99</v>
      </c>
      <c r="F12" s="4">
        <v>208.80699999999999</v>
      </c>
      <c r="G12" s="4">
        <v>285.08499999999998</v>
      </c>
      <c r="H12" s="8">
        <f>H10*H11</f>
        <v>-75.619500000000002</v>
      </c>
      <c r="I12" s="8">
        <f t="shared" ref="I12:L12" si="1">I10*I11</f>
        <v>-124.42</v>
      </c>
      <c r="J12" s="8">
        <f t="shared" si="1"/>
        <v>284.9701</v>
      </c>
      <c r="K12" s="8">
        <f t="shared" si="1"/>
        <v>99.601200000000006</v>
      </c>
      <c r="L12" s="8">
        <f t="shared" si="1"/>
        <v>225.264714</v>
      </c>
      <c r="M12" s="8">
        <f>M10*M11</f>
        <v>208.48122012500002</v>
      </c>
      <c r="N12" s="4"/>
      <c r="O12" s="4"/>
      <c r="P12" s="4"/>
      <c r="Q12" s="4"/>
      <c r="R12" s="4"/>
    </row>
    <row r="13" spans="1:18" ht="15" x14ac:dyDescent="0.2">
      <c r="F13" s="21" t="s">
        <v>31</v>
      </c>
      <c r="G13" s="22"/>
      <c r="H13" s="23">
        <f>H12/(1+$B$37)</f>
        <v>-71.584089686346246</v>
      </c>
      <c r="I13" s="23">
        <f>I12/(1+$B$37)^2</f>
        <v>-111.49505527404816</v>
      </c>
      <c r="J13" s="23">
        <f>J12/(1+$B$37)^3</f>
        <v>241.73938339962595</v>
      </c>
      <c r="K13" s="23">
        <f>K12/(1+$B$37)^4</f>
        <v>79.982576702461117</v>
      </c>
      <c r="L13" s="23">
        <f>L12/(1+$B$37)^5</f>
        <v>171.24058133213123</v>
      </c>
      <c r="M13" s="26">
        <f>(M12/(B37-B39))/(1+B37)^5</f>
        <v>4357.1375648625217</v>
      </c>
      <c r="N13" s="4"/>
      <c r="O13" s="4"/>
      <c r="P13" s="4"/>
      <c r="Q13" s="4"/>
      <c r="R13" s="4"/>
    </row>
    <row r="14" spans="1:18" ht="15" x14ac:dyDescent="0.2"/>
    <row r="15" spans="1:18" ht="15" x14ac:dyDescent="0.2">
      <c r="A15" s="19" t="s">
        <v>23</v>
      </c>
      <c r="B15" s="11"/>
    </row>
    <row r="16" spans="1:18" ht="15" x14ac:dyDescent="0.2">
      <c r="B16" s="13"/>
    </row>
    <row r="17" spans="1:2" ht="15" x14ac:dyDescent="0.2">
      <c r="A17" t="s">
        <v>10</v>
      </c>
      <c r="B17" s="14">
        <f>Optimistisch!B21</f>
        <v>2.5839999999999998E-2</v>
      </c>
    </row>
    <row r="18" spans="1:2" ht="15" x14ac:dyDescent="0.2">
      <c r="B18" s="13"/>
    </row>
    <row r="19" spans="1:2" x14ac:dyDescent="0.2">
      <c r="A19" t="s">
        <v>11</v>
      </c>
      <c r="B19" s="14">
        <f>(B21-B17)*B23</f>
        <v>4.9900800000000002E-2</v>
      </c>
    </row>
    <row r="20" spans="1:2" ht="15" x14ac:dyDescent="0.2">
      <c r="B20" s="13"/>
    </row>
    <row r="21" spans="1:2" ht="15" x14ac:dyDescent="0.2">
      <c r="A21" t="s">
        <v>12</v>
      </c>
      <c r="B21" s="14">
        <f>Optimistisch!B25</f>
        <v>7.0000000000000007E-2</v>
      </c>
    </row>
    <row r="22" spans="1:2" ht="15" x14ac:dyDescent="0.2">
      <c r="B22" s="13"/>
    </row>
    <row r="23" spans="1:2" ht="15" x14ac:dyDescent="0.2">
      <c r="A23" t="s">
        <v>13</v>
      </c>
      <c r="B23" s="15">
        <f>Optimistisch!B27</f>
        <v>1.1299999999999999</v>
      </c>
    </row>
    <row r="24" spans="1:2" ht="15" x14ac:dyDescent="0.2">
      <c r="B24" s="13"/>
    </row>
    <row r="25" spans="1:2" ht="15" x14ac:dyDescent="0.2">
      <c r="A25" s="17" t="s">
        <v>14</v>
      </c>
      <c r="B25" s="18">
        <f>B17+(B21-B17)*B23</f>
        <v>7.5740799999999997E-2</v>
      </c>
    </row>
    <row r="26" spans="1:2" ht="15" x14ac:dyDescent="0.2"/>
    <row r="27" spans="1:2" ht="15" x14ac:dyDescent="0.2">
      <c r="A27" s="25" t="s">
        <v>32</v>
      </c>
      <c r="B27" s="11"/>
    </row>
    <row r="28" spans="1:2" ht="15" x14ac:dyDescent="0.2">
      <c r="A28" s="12"/>
      <c r="B28" s="13"/>
    </row>
    <row r="29" spans="1:2" ht="15" x14ac:dyDescent="0.2">
      <c r="A29" s="12" t="s">
        <v>37</v>
      </c>
      <c r="B29" s="15">
        <f>C42</f>
        <v>2214.96765</v>
      </c>
    </row>
    <row r="30" spans="1:2" ht="15" x14ac:dyDescent="0.2">
      <c r="A30" s="12"/>
      <c r="B30" s="13"/>
    </row>
    <row r="31" spans="1:2" ht="15" x14ac:dyDescent="0.2">
      <c r="A31" s="12" t="s">
        <v>38</v>
      </c>
      <c r="B31" s="15">
        <v>1637.18</v>
      </c>
    </row>
    <row r="32" spans="1:2" ht="15" x14ac:dyDescent="0.2">
      <c r="A32" s="12"/>
      <c r="B32" s="13"/>
    </row>
    <row r="33" spans="1:4" ht="15" x14ac:dyDescent="0.2">
      <c r="A33" s="12" t="s">
        <v>33</v>
      </c>
      <c r="B33" s="14">
        <v>4.3099999999999999E-2</v>
      </c>
    </row>
    <row r="34" spans="1:4" ht="15" x14ac:dyDescent="0.2">
      <c r="A34" s="12"/>
      <c r="B34" s="13"/>
    </row>
    <row r="35" spans="1:4" ht="15" x14ac:dyDescent="0.2">
      <c r="A35" s="12" t="s">
        <v>34</v>
      </c>
      <c r="B35" s="14">
        <v>0.3</v>
      </c>
    </row>
    <row r="36" spans="1:4" ht="15" x14ac:dyDescent="0.2">
      <c r="A36" s="12"/>
      <c r="B36" s="13"/>
    </row>
    <row r="37" spans="1:4" ht="15" x14ac:dyDescent="0.2">
      <c r="A37" s="16" t="s">
        <v>35</v>
      </c>
      <c r="B37" s="18">
        <f>B25*(B29/(B29+B31))+B33*(B31/(B29+B31))*(1-B35)</f>
        <v>5.6373005947765266E-2</v>
      </c>
    </row>
    <row r="38" spans="1:4" ht="15" x14ac:dyDescent="0.2">
      <c r="B38" s="5"/>
    </row>
    <row r="39" spans="1:4" ht="15" x14ac:dyDescent="0.2">
      <c r="A39" t="s">
        <v>36</v>
      </c>
      <c r="B39" s="5">
        <v>0.02</v>
      </c>
    </row>
    <row r="40" spans="1:4" ht="15" x14ac:dyDescent="0.2"/>
    <row r="41" spans="1:4" ht="15" x14ac:dyDescent="0.2">
      <c r="A41" s="2"/>
      <c r="B41" s="2"/>
      <c r="C41" s="30">
        <f>Optimistisch!C31</f>
        <v>45247</v>
      </c>
      <c r="D41" s="31" t="s">
        <v>15</v>
      </c>
    </row>
    <row r="42" spans="1:4" ht="15" x14ac:dyDescent="0.2">
      <c r="A42" s="6" t="s">
        <v>16</v>
      </c>
      <c r="B42" s="6" t="s">
        <v>17</v>
      </c>
      <c r="C42" s="8">
        <f>C43*C44</f>
        <v>2214.96765</v>
      </c>
      <c r="D42" s="8">
        <f>SUM(H13:M13)-B31</f>
        <v>3029.8409613363456</v>
      </c>
    </row>
    <row r="43" spans="1:4" ht="15" x14ac:dyDescent="0.2">
      <c r="A43" s="6"/>
      <c r="B43" s="6" t="s">
        <v>6</v>
      </c>
      <c r="C43" s="8">
        <f>Optimistisch!C33</f>
        <v>161.03</v>
      </c>
      <c r="D43" s="8">
        <f>C43</f>
        <v>161.03</v>
      </c>
    </row>
    <row r="44" spans="1:4" ht="15" x14ac:dyDescent="0.2">
      <c r="A44" s="6"/>
      <c r="B44" s="6" t="s">
        <v>18</v>
      </c>
      <c r="C44" s="8">
        <f>Optimistisch!C34</f>
        <v>13.755000000000001</v>
      </c>
      <c r="D44" s="8">
        <f>D42/D43</f>
        <v>18.815381986812056</v>
      </c>
    </row>
    <row r="45" spans="1:4" ht="15" x14ac:dyDescent="0.2">
      <c r="A45" s="6"/>
      <c r="B45" s="6" t="s">
        <v>19</v>
      </c>
      <c r="C45" s="6"/>
      <c r="D45" s="9">
        <f>IF(C44/D44-1&gt;0,0,C44/D44-1)*-1</f>
        <v>0.26894920285747814</v>
      </c>
    </row>
    <row r="46" spans="1:4" x14ac:dyDescent="0.2">
      <c r="A46" s="6"/>
      <c r="B46" s="6" t="s">
        <v>20</v>
      </c>
      <c r="C46" s="6"/>
      <c r="D46" s="9">
        <f>IF(C44/D44-1&lt;0,0,C44/D44-1)</f>
        <v>0</v>
      </c>
    </row>
    <row r="47" spans="1:4" ht="15" x14ac:dyDescent="0.2"/>
    <row r="48" spans="1:4" ht="15" x14ac:dyDescent="0.2"/>
    <row r="49" ht="15" x14ac:dyDescent="0.2"/>
    <row r="50" ht="15" x14ac:dyDescent="0.2"/>
    <row r="51" ht="15" x14ac:dyDescent="0.2"/>
    <row r="52" ht="15" x14ac:dyDescent="0.2"/>
    <row r="53" ht="15" x14ac:dyDescent="0.2"/>
    <row r="54" ht="15" x14ac:dyDescent="0.2"/>
    <row r="55" ht="15" x14ac:dyDescent="0.2"/>
  </sheetData>
  <pageMargins left="0.7" right="0.7" top="0.78740157499999996" bottom="0.78740157499999996" header="0.3" footer="0.3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Optimistisch</vt:lpstr>
      <vt:lpstr>Pessimistisch</vt:lpstr>
      <vt:lpstr>Wachstum für Faire Bewertung</vt:lpstr>
      <vt:lpstr>DCF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Tilman Reichel</dc:creator>
  <cp:lastModifiedBy>Tilman Reichel</cp:lastModifiedBy>
  <dcterms:created xsi:type="dcterms:W3CDTF">2023-11-01T21:06:40Z</dcterms:created>
  <dcterms:modified xsi:type="dcterms:W3CDTF">2023-11-20T12:55:11Z</dcterms:modified>
</cp:coreProperties>
</file>