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ptimistisch" sheetId="1" r:id="rId4"/>
    <sheet state="visible" name="Pessimistisch" sheetId="2" r:id="rId5"/>
    <sheet state="visible" name="Wachstum für Faire Bewertung" sheetId="3" r:id="rId6"/>
    <sheet state="visible" name="DCF" sheetId="4" r:id="rId7"/>
  </sheets>
  <definedNames/>
  <calcPr/>
  <extLst>
    <ext uri="GoogleSheetsCustomDataVersion2">
      <go:sheetsCustomData xmlns:go="http://customooxmlschemas.google.com/" r:id="rId8" roundtripDataChecksum="Rj88qd2BfsjJMYkbajUxKTCwcFh5JQK3UaVrIWmwsE0="/>
    </ext>
  </extLst>
</workbook>
</file>

<file path=xl/sharedStrings.xml><?xml version="1.0" encoding="utf-8"?>
<sst xmlns="http://schemas.openxmlformats.org/spreadsheetml/2006/main" count="118" uniqueCount="41">
  <si>
    <t>Discounted Net-Profit Modell</t>
  </si>
  <si>
    <t>Annahmen für McDonald's</t>
  </si>
  <si>
    <t>Alle Angaben in Mrd.</t>
  </si>
  <si>
    <t>Schätzungen »</t>
  </si>
  <si>
    <t>Umsatz</t>
  </si>
  <si>
    <t>Umsatzwachstum</t>
  </si>
  <si>
    <t>-</t>
  </si>
  <si>
    <t>EBIT Marge</t>
  </si>
  <si>
    <t>EBIT</t>
  </si>
  <si>
    <t>Gewinn (abzgl. Steuern, Zinsen)</t>
  </si>
  <si>
    <t>Anzahl an Aktien (abzgl. Aktienrückkäufe)</t>
  </si>
  <si>
    <t>Gewinn je Aktie</t>
  </si>
  <si>
    <t>Abgezinster Gewinn</t>
  </si>
  <si>
    <t>Berechnung der Eigenkapitalkosten:</t>
  </si>
  <si>
    <t>Risikoloser Basiszins:</t>
  </si>
  <si>
    <t>Risikoprämie:</t>
  </si>
  <si>
    <t>Marktrendite:</t>
  </si>
  <si>
    <t>Beta-Faktor:</t>
  </si>
  <si>
    <t>Eigenkapitalkosten:</t>
  </si>
  <si>
    <t>Fairer Wert</t>
  </si>
  <si>
    <t>Bewertung</t>
  </si>
  <si>
    <t>Marktkapitalisierung</t>
  </si>
  <si>
    <t>Anzahl an Aktien</t>
  </si>
  <si>
    <t>Kurs je Aktie</t>
  </si>
  <si>
    <t>Unterbewertung</t>
  </si>
  <si>
    <t>Überbewertung</t>
  </si>
  <si>
    <t>Berechnung der Renditeerwartung:</t>
  </si>
  <si>
    <t>Durchschnittliche Ausschüttungsquote:</t>
  </si>
  <si>
    <t>Ausgeschüttete Gewinne:</t>
  </si>
  <si>
    <t>Quellensteuer</t>
  </si>
  <si>
    <t>Discounted Cashflow Modell</t>
  </si>
  <si>
    <t>Free Cashflow Marge</t>
  </si>
  <si>
    <t>Free Cashflow</t>
  </si>
  <si>
    <t>Abgezinster Free Cashflow</t>
  </si>
  <si>
    <t>Berechnung der WACC:</t>
  </si>
  <si>
    <t>Marktkapitalisierung:</t>
  </si>
  <si>
    <t>Verzinstes Fremdkapital:</t>
  </si>
  <si>
    <t>Zinsrate (durchschnittlich):</t>
  </si>
  <si>
    <t>Steuerrate (durchschnittlich):</t>
  </si>
  <si>
    <t>WACC:</t>
  </si>
  <si>
    <t>Wachstumsabschlag: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</si>
</sst>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Calibri"/>
      <scheme val="minor"/>
    </font>
    <font>
      <b/>
      <sz val="20.0"/>
      <color theme="1"/>
      <name val="Calibri"/>
    </font>
    <font>
      <color theme="1"/>
      <name val="Calibri"/>
      <scheme val="minor"/>
    </font>
    <font>
      <sz val="12.0"/>
      <color theme="1"/>
      <name val="Calibri"/>
    </font>
    <font>
      <sz val="12.0"/>
      <color theme="0"/>
      <name val="Calibri"/>
    </font>
    <font>
      <u/>
      <sz val="12.0"/>
      <color theme="1"/>
      <name val="Calibri"/>
    </font>
    <font>
      <u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7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Border="1" applyFill="1" applyFont="1"/>
    <xf borderId="1" fillId="2" fontId="4" numFmtId="0" xfId="0" applyBorder="1" applyFont="1"/>
    <xf borderId="1" fillId="3" fontId="3" numFmtId="0" xfId="0" applyBorder="1" applyFill="1" applyFont="1"/>
    <xf borderId="1" fillId="3" fontId="3" numFmtId="0" xfId="0" applyAlignment="1" applyBorder="1" applyFont="1">
      <alignment horizontal="right"/>
    </xf>
    <xf borderId="0" fillId="0" fontId="3" numFmtId="2" xfId="0" applyFont="1" applyNumberFormat="1"/>
    <xf borderId="1" fillId="3" fontId="3" numFmtId="2" xfId="0" applyBorder="1" applyFont="1" applyNumberFormat="1"/>
    <xf borderId="0" fillId="0" fontId="3" numFmtId="0" xfId="0" applyAlignment="1" applyFont="1">
      <alignment horizontal="right"/>
    </xf>
    <xf borderId="0" fillId="0" fontId="3" numFmtId="10" xfId="0" applyFont="1" applyNumberFormat="1"/>
    <xf borderId="1" fillId="3" fontId="3" numFmtId="10" xfId="0" applyBorder="1" applyFont="1" applyNumberFormat="1"/>
    <xf borderId="2" fillId="0" fontId="3" numFmtId="0" xfId="0" applyBorder="1" applyFont="1"/>
    <xf borderId="3" fillId="0" fontId="3" numFmtId="0" xfId="0" applyBorder="1" applyFont="1"/>
    <xf borderId="4" fillId="4" fontId="3" numFmtId="2" xfId="0" applyBorder="1" applyFill="1" applyFont="1" applyNumberFormat="1"/>
    <xf borderId="5" fillId="4" fontId="3" numFmtId="2" xfId="0" applyBorder="1" applyFont="1" applyNumberFormat="1"/>
    <xf borderId="6" fillId="0" fontId="5" numFmtId="0" xfId="0" applyBorder="1" applyFont="1"/>
    <xf borderId="7" fillId="0" fontId="3" numFmtId="0" xfId="0" applyBorder="1" applyFont="1"/>
    <xf borderId="8" fillId="0" fontId="3" numFmtId="0" xfId="0" applyBorder="1" applyFont="1"/>
    <xf borderId="8" fillId="0" fontId="3" numFmtId="10" xfId="0" applyAlignment="1" applyBorder="1" applyFont="1" applyNumberFormat="1">
      <alignment readingOrder="0"/>
    </xf>
    <xf borderId="8" fillId="0" fontId="3" numFmtId="10" xfId="0" applyBorder="1" applyFont="1" applyNumberFormat="1"/>
    <xf borderId="8" fillId="0" fontId="3" numFmtId="2" xfId="0" applyBorder="1" applyFont="1" applyNumberFormat="1"/>
    <xf borderId="9" fillId="0" fontId="3" numFmtId="0" xfId="0" applyBorder="1" applyFont="1"/>
    <xf borderId="10" fillId="0" fontId="3" numFmtId="10" xfId="0" applyBorder="1" applyFont="1" applyNumberFormat="1"/>
    <xf borderId="1" fillId="2" fontId="4" numFmtId="14" xfId="0" applyAlignment="1" applyBorder="1" applyFont="1" applyNumberFormat="1">
      <alignment horizontal="right"/>
    </xf>
    <xf borderId="1" fillId="2" fontId="4" numFmtId="0" xfId="0" applyAlignment="1" applyBorder="1" applyFont="1">
      <alignment horizontal="right"/>
    </xf>
    <xf borderId="1" fillId="3" fontId="3" numFmtId="2" xfId="0" applyAlignment="1" applyBorder="1" applyFont="1" applyNumberFormat="1">
      <alignment readingOrder="0"/>
    </xf>
    <xf borderId="1" fillId="4" fontId="3" numFmtId="0" xfId="0" applyBorder="1" applyFont="1"/>
    <xf borderId="11" fillId="0" fontId="6" numFmtId="0" xfId="0" applyBorder="1" applyFont="1"/>
    <xf borderId="6" fillId="0" fontId="3" numFmtId="0" xfId="0" applyBorder="1" applyFont="1"/>
    <xf borderId="12" fillId="0" fontId="3" numFmtId="0" xfId="0" applyBorder="1" applyFont="1"/>
    <xf borderId="13" fillId="3" fontId="3" numFmtId="0" xfId="0" applyBorder="1" applyFont="1"/>
    <xf borderId="14" fillId="3" fontId="3" numFmtId="0" xfId="0" applyBorder="1" applyFont="1"/>
    <xf borderId="15" fillId="3" fontId="3" numFmtId="10" xfId="0" applyBorder="1" applyFont="1" applyNumberFormat="1"/>
    <xf borderId="16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">
        <v>1</v>
      </c>
    </row>
    <row r="5" ht="15.75" customHeight="1"/>
    <row r="6" ht="15.75" customHeight="1">
      <c r="B6" s="2" t="s">
        <v>2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v>2018.0</v>
      </c>
      <c r="D9" s="2">
        <f t="shared" ref="D9:Q9" si="1">C9+1</f>
        <v>2019</v>
      </c>
      <c r="E9" s="2">
        <f t="shared" si="1"/>
        <v>2020</v>
      </c>
      <c r="F9" s="2">
        <f t="shared" si="1"/>
        <v>2021</v>
      </c>
      <c r="G9" s="2">
        <f t="shared" si="1"/>
        <v>2022</v>
      </c>
      <c r="H9" s="5">
        <f t="shared" si="1"/>
        <v>2023</v>
      </c>
      <c r="I9" s="5">
        <f t="shared" si="1"/>
        <v>2024</v>
      </c>
      <c r="J9" s="5">
        <f t="shared" si="1"/>
        <v>2025</v>
      </c>
      <c r="K9" s="5">
        <f t="shared" si="1"/>
        <v>2026</v>
      </c>
      <c r="L9" s="5">
        <f t="shared" si="1"/>
        <v>2027</v>
      </c>
      <c r="M9" s="5">
        <f t="shared" si="1"/>
        <v>2028</v>
      </c>
      <c r="N9" s="5">
        <f t="shared" si="1"/>
        <v>2029</v>
      </c>
      <c r="O9" s="5">
        <f t="shared" si="1"/>
        <v>2030</v>
      </c>
      <c r="P9" s="5">
        <f t="shared" si="1"/>
        <v>2031</v>
      </c>
      <c r="Q9" s="5">
        <f t="shared" si="1"/>
        <v>2032</v>
      </c>
      <c r="R9" s="6" t="str">
        <f>Q9+1&amp;"ff."</f>
        <v>2033ff.</v>
      </c>
    </row>
    <row r="10" ht="15.75" customHeight="1">
      <c r="B10" s="2" t="s">
        <v>4</v>
      </c>
      <c r="C10" s="7">
        <v>21.2579</v>
      </c>
      <c r="D10" s="7">
        <v>21.3644</v>
      </c>
      <c r="E10" s="7">
        <v>19.2078</v>
      </c>
      <c r="F10" s="7">
        <v>23.2229</v>
      </c>
      <c r="G10" s="7">
        <v>23.1826</v>
      </c>
      <c r="H10" s="8">
        <v>25.52317</v>
      </c>
      <c r="I10" s="8">
        <v>27.05155</v>
      </c>
      <c r="J10" s="8">
        <v>28.62091</v>
      </c>
      <c r="K10" s="8">
        <f t="shared" ref="K10:R10" si="2">J10*(1+K11)</f>
        <v>30.48126915</v>
      </c>
      <c r="L10" s="8">
        <f t="shared" si="2"/>
        <v>32.3101453</v>
      </c>
      <c r="M10" s="8">
        <f t="shared" si="2"/>
        <v>34.08720329</v>
      </c>
      <c r="N10" s="8">
        <f t="shared" si="2"/>
        <v>35.79156345</v>
      </c>
      <c r="O10" s="8">
        <f t="shared" si="2"/>
        <v>37.40218381</v>
      </c>
      <c r="P10" s="8">
        <f t="shared" si="2"/>
        <v>39.08528208</v>
      </c>
      <c r="Q10" s="8">
        <f t="shared" si="2"/>
        <v>40.64869337</v>
      </c>
      <c r="R10" s="8">
        <f t="shared" si="2"/>
        <v>41.46166723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0.005009902201</v>
      </c>
      <c r="E11" s="10">
        <f t="shared" si="3"/>
        <v>-0.1009436258</v>
      </c>
      <c r="F11" s="10">
        <f t="shared" si="3"/>
        <v>0.2090348713</v>
      </c>
      <c r="G11" s="10">
        <f t="shared" si="3"/>
        <v>-0.001735356049</v>
      </c>
      <c r="H11" s="11">
        <f t="shared" si="3"/>
        <v>0.1009623597</v>
      </c>
      <c r="I11" s="11">
        <f t="shared" si="3"/>
        <v>0.0598820601</v>
      </c>
      <c r="J11" s="11">
        <f t="shared" si="3"/>
        <v>0.05801368129</v>
      </c>
      <c r="K11" s="11">
        <v>0.065</v>
      </c>
      <c r="L11" s="11">
        <v>0.06</v>
      </c>
      <c r="M11" s="11">
        <v>0.055</v>
      </c>
      <c r="N11" s="11">
        <v>0.05</v>
      </c>
      <c r="O11" s="11">
        <v>0.045</v>
      </c>
      <c r="P11" s="11">
        <v>0.045</v>
      </c>
      <c r="Q11" s="11">
        <v>0.04</v>
      </c>
      <c r="R11" s="11">
        <v>0.02</v>
      </c>
    </row>
    <row r="12" ht="15.75" customHeight="1">
      <c r="B12" s="2" t="s">
        <v>7</v>
      </c>
      <c r="C12" s="10">
        <f t="shared" ref="C12:J12" si="4">C13/C10</f>
        <v>0.4150268841</v>
      </c>
      <c r="D12" s="10">
        <f t="shared" si="4"/>
        <v>0.4245286551</v>
      </c>
      <c r="E12" s="10">
        <f t="shared" si="4"/>
        <v>0.3813034288</v>
      </c>
      <c r="F12" s="10">
        <f t="shared" si="4"/>
        <v>0.4459391377</v>
      </c>
      <c r="G12" s="10">
        <f t="shared" si="4"/>
        <v>0.404225583</v>
      </c>
      <c r="H12" s="11">
        <f t="shared" si="4"/>
        <v>0.4665</v>
      </c>
      <c r="I12" s="11">
        <f t="shared" si="4"/>
        <v>0.4668</v>
      </c>
      <c r="J12" s="11">
        <f t="shared" si="4"/>
        <v>0.4687</v>
      </c>
      <c r="K12" s="11">
        <v>0.47</v>
      </c>
      <c r="L12" s="11">
        <v>0.465</v>
      </c>
      <c r="M12" s="11">
        <v>0.4</v>
      </c>
      <c r="N12" s="11">
        <v>0.42</v>
      </c>
      <c r="O12" s="11">
        <v>0.44</v>
      </c>
      <c r="P12" s="11">
        <v>0.45</v>
      </c>
      <c r="Q12" s="11">
        <v>0.46</v>
      </c>
      <c r="R12" s="11">
        <v>0.465</v>
      </c>
    </row>
    <row r="13" ht="15.75" customHeight="1">
      <c r="B13" s="2" t="s">
        <v>8</v>
      </c>
      <c r="C13" s="7">
        <v>8.8226</v>
      </c>
      <c r="D13" s="7">
        <v>9.0698</v>
      </c>
      <c r="E13" s="7">
        <v>7.324</v>
      </c>
      <c r="F13" s="7">
        <v>10.356</v>
      </c>
      <c r="G13" s="7">
        <v>9.371</v>
      </c>
      <c r="H13" s="8">
        <v>11.906558805000001</v>
      </c>
      <c r="I13" s="8">
        <v>12.627663539999999</v>
      </c>
      <c r="J13" s="8">
        <v>13.414620517</v>
      </c>
      <c r="K13" s="8">
        <f t="shared" ref="K13:R13" si="5">K10*K12</f>
        <v>14.3261965</v>
      </c>
      <c r="L13" s="8">
        <f t="shared" si="5"/>
        <v>15.02421756</v>
      </c>
      <c r="M13" s="8">
        <f t="shared" si="5"/>
        <v>13.63488132</v>
      </c>
      <c r="N13" s="8">
        <f t="shared" si="5"/>
        <v>15.03245665</v>
      </c>
      <c r="O13" s="8">
        <f t="shared" si="5"/>
        <v>16.45696088</v>
      </c>
      <c r="P13" s="8">
        <f t="shared" si="5"/>
        <v>17.58837694</v>
      </c>
      <c r="Q13" s="8">
        <f t="shared" si="5"/>
        <v>18.69839895</v>
      </c>
      <c r="R13" s="8">
        <f t="shared" si="5"/>
        <v>19.27967526</v>
      </c>
    </row>
    <row r="14" ht="15.75" customHeight="1">
      <c r="A14" s="11">
        <v>0.3</v>
      </c>
      <c r="B14" s="2" t="s">
        <v>9</v>
      </c>
      <c r="C14" s="7">
        <v>5.9243</v>
      </c>
      <c r="D14" s="7">
        <v>6.0254</v>
      </c>
      <c r="E14" s="7">
        <v>4.7305</v>
      </c>
      <c r="F14" s="7">
        <v>7.5452</v>
      </c>
      <c r="G14" s="7">
        <v>6.1774</v>
      </c>
      <c r="H14" s="8">
        <v>8.588546705</v>
      </c>
      <c r="I14" s="8">
        <v>8.994640375</v>
      </c>
      <c r="J14" s="8">
        <v>9.602315305</v>
      </c>
      <c r="K14" s="8">
        <f t="shared" ref="K14:R14" si="6">K13*(1-$A$14)</f>
        <v>10.02833755</v>
      </c>
      <c r="L14" s="8">
        <f t="shared" si="6"/>
        <v>10.51695229</v>
      </c>
      <c r="M14" s="8">
        <f t="shared" si="6"/>
        <v>9.544416921</v>
      </c>
      <c r="N14" s="8">
        <f t="shared" si="6"/>
        <v>10.52271966</v>
      </c>
      <c r="O14" s="8">
        <f t="shared" si="6"/>
        <v>11.51987261</v>
      </c>
      <c r="P14" s="8">
        <f t="shared" si="6"/>
        <v>12.31186386</v>
      </c>
      <c r="Q14" s="8">
        <f t="shared" si="6"/>
        <v>13.08887926</v>
      </c>
      <c r="R14" s="8">
        <f t="shared" si="6"/>
        <v>13.49577268</v>
      </c>
    </row>
    <row r="15" ht="15.75" customHeight="1">
      <c r="A15" s="11">
        <v>0.97</v>
      </c>
      <c r="B15" s="2" t="s">
        <v>10</v>
      </c>
      <c r="H15" s="8">
        <f>C33</f>
        <v>0.72534203</v>
      </c>
      <c r="I15" s="8">
        <f t="shared" ref="I15:Q15" si="7">H15*$A$15</f>
        <v>0.7035817691</v>
      </c>
      <c r="J15" s="8">
        <f t="shared" si="7"/>
        <v>0.682474316</v>
      </c>
      <c r="K15" s="8">
        <f t="shared" si="7"/>
        <v>0.6620000865</v>
      </c>
      <c r="L15" s="8">
        <f t="shared" si="7"/>
        <v>0.6421400839</v>
      </c>
      <c r="M15" s="8">
        <f t="shared" si="7"/>
        <v>0.6228758814</v>
      </c>
      <c r="N15" s="8">
        <f t="shared" si="7"/>
        <v>0.604189605</v>
      </c>
      <c r="O15" s="8">
        <f t="shared" si="7"/>
        <v>0.5860639168</v>
      </c>
      <c r="P15" s="8">
        <f t="shared" si="7"/>
        <v>0.5684819993</v>
      </c>
      <c r="Q15" s="8">
        <f t="shared" si="7"/>
        <v>0.5514275394</v>
      </c>
      <c r="R15" s="6" t="s">
        <v>6</v>
      </c>
    </row>
    <row r="16" ht="15.75" customHeight="1">
      <c r="B16" s="2" t="s">
        <v>11</v>
      </c>
      <c r="H16" s="8">
        <f t="shared" ref="H16:Q16" si="8">H14/H15</f>
        <v>11.84068529</v>
      </c>
      <c r="I16" s="8">
        <f t="shared" si="8"/>
        <v>12.78407254</v>
      </c>
      <c r="J16" s="8">
        <f t="shared" si="8"/>
        <v>14.06985593</v>
      </c>
      <c r="K16" s="8">
        <f t="shared" si="8"/>
        <v>15.14854417</v>
      </c>
      <c r="L16" s="8">
        <f t="shared" si="8"/>
        <v>16.37797197</v>
      </c>
      <c r="M16" s="8">
        <f t="shared" si="8"/>
        <v>15.32314415</v>
      </c>
      <c r="N16" s="8">
        <f t="shared" si="8"/>
        <v>17.41625405</v>
      </c>
      <c r="O16" s="8">
        <f t="shared" si="8"/>
        <v>19.65634171</v>
      </c>
      <c r="P16" s="8">
        <f t="shared" si="8"/>
        <v>21.65743835</v>
      </c>
      <c r="Q16" s="8">
        <f t="shared" si="8"/>
        <v>23.73635397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8.062901939</v>
      </c>
      <c r="I17" s="14">
        <f>I14/(1+$B$29)^2</f>
        <v>7.927334728</v>
      </c>
      <c r="J17" s="14">
        <f>J14/(1+$B$29)^3</f>
        <v>7.944947856</v>
      </c>
      <c r="K17" s="14">
        <f>K14/(1+$B$29)^4</f>
        <v>7.789610253</v>
      </c>
      <c r="L17" s="14">
        <f>L14/(1+$B$29)^5</f>
        <v>7.669170359</v>
      </c>
      <c r="M17" s="14">
        <f>M14/(1+$B$29)^6</f>
        <v>6.534006759</v>
      </c>
      <c r="N17" s="14">
        <f>N14/(1+$B$29)^7</f>
        <v>6.762851851</v>
      </c>
      <c r="O17" s="14">
        <f>O14/(1+$B$29)^8</f>
        <v>6.950583203</v>
      </c>
      <c r="P17" s="14">
        <f>P14/(1+$B$29)^9</f>
        <v>6.973793292</v>
      </c>
      <c r="Q17" s="14">
        <f>Q14/(1+$B$29)^10</f>
        <v>6.960163215</v>
      </c>
      <c r="R17" s="15">
        <f>(R14/(B29-R11))/(1+B29)^10</f>
        <v>158.7974577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19">
        <v>0.0447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0.020493</v>
      </c>
    </row>
    <row r="24" ht="15.75" customHeight="1">
      <c r="B24" s="18"/>
    </row>
    <row r="25" ht="15.75" customHeight="1">
      <c r="A25" s="2" t="s">
        <v>16</v>
      </c>
      <c r="B25" s="20">
        <v>0.07</v>
      </c>
    </row>
    <row r="26" ht="15.75" customHeight="1">
      <c r="B26" s="18"/>
    </row>
    <row r="27" ht="15.75" customHeight="1">
      <c r="A27" s="2" t="s">
        <v>17</v>
      </c>
      <c r="B27" s="21">
        <v>0.81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0.065193</v>
      </c>
    </row>
    <row r="30" ht="15.75" customHeight="1"/>
    <row r="31" ht="15.75" customHeight="1">
      <c r="A31" s="3"/>
      <c r="B31" s="3"/>
      <c r="C31" s="24">
        <v>45254.0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204.9381372</v>
      </c>
      <c r="D32" s="8">
        <f>SUM(H17:R17)</f>
        <v>232.3728212</v>
      </c>
    </row>
    <row r="33" ht="15.75" customHeight="1">
      <c r="A33" s="5"/>
      <c r="B33" s="5" t="s">
        <v>22</v>
      </c>
      <c r="C33" s="8">
        <f>0.72534203</f>
        <v>0.72534203</v>
      </c>
      <c r="D33" s="8">
        <f>C33</f>
        <v>0.72534203</v>
      </c>
    </row>
    <row r="34" ht="15.75" customHeight="1">
      <c r="A34" s="5"/>
      <c r="B34" s="5" t="s">
        <v>23</v>
      </c>
      <c r="C34" s="26">
        <v>282.54</v>
      </c>
      <c r="D34" s="8">
        <f>D32/D33</f>
        <v>320.3630998</v>
      </c>
    </row>
    <row r="35" ht="15.75" customHeight="1">
      <c r="A35" s="5"/>
      <c r="B35" s="5" t="s">
        <v>24</v>
      </c>
      <c r="C35" s="5"/>
      <c r="D35" s="11">
        <f>IF(C34/D34-1&gt;0,0,C34/D34-1)*-1</f>
        <v>0.1180632221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2032:</v>
      </c>
      <c r="D40" s="21">
        <v>22.0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2032:</v>
      </c>
      <c r="D42" s="21">
        <f>Q16*D40</f>
        <v>522.1997874</v>
      </c>
    </row>
    <row r="43" ht="15.75" customHeight="1">
      <c r="A43" s="30"/>
      <c r="D43" s="18"/>
    </row>
    <row r="44" ht="15.75" customHeight="1">
      <c r="A44" s="30" t="s">
        <v>27</v>
      </c>
      <c r="D44" s="20">
        <v>0.65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109.2069304</v>
      </c>
    </row>
    <row r="47" ht="15.75" customHeight="1">
      <c r="A47" s="30"/>
      <c r="D47" s="18"/>
    </row>
    <row r="48" ht="15.75" customHeight="1">
      <c r="A48" s="30" t="s">
        <v>29</v>
      </c>
      <c r="D48" s="20"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2032</v>
      </c>
      <c r="D50" s="21">
        <f>D42+D46*(1-D48)</f>
        <v>615.0256782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2032</v>
      </c>
      <c r="D52" s="20">
        <f>D50/C34-1</f>
        <v>1.176773831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2032 pro Jahr</v>
      </c>
      <c r="B54" s="32"/>
      <c r="C54" s="32"/>
      <c r="D54" s="33">
        <f>(D50/C34)^(1/10)-1</f>
        <v>0.0808895815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McDonald's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2018</v>
      </c>
      <c r="D9" s="2">
        <f t="shared" ref="D9:Q9" si="1">C9+1</f>
        <v>2019</v>
      </c>
      <c r="E9" s="2">
        <f t="shared" si="1"/>
        <v>2020</v>
      </c>
      <c r="F9" s="2">
        <f t="shared" si="1"/>
        <v>2021</v>
      </c>
      <c r="G9" s="2">
        <f t="shared" si="1"/>
        <v>2022</v>
      </c>
      <c r="H9" s="5">
        <f t="shared" si="1"/>
        <v>2023</v>
      </c>
      <c r="I9" s="5">
        <f t="shared" si="1"/>
        <v>2024</v>
      </c>
      <c r="J9" s="5">
        <f t="shared" si="1"/>
        <v>2025</v>
      </c>
      <c r="K9" s="5">
        <f t="shared" si="1"/>
        <v>2026</v>
      </c>
      <c r="L9" s="5">
        <f t="shared" si="1"/>
        <v>2027</v>
      </c>
      <c r="M9" s="5">
        <f t="shared" si="1"/>
        <v>2028</v>
      </c>
      <c r="N9" s="5">
        <f t="shared" si="1"/>
        <v>2029</v>
      </c>
      <c r="O9" s="5">
        <f t="shared" si="1"/>
        <v>2030</v>
      </c>
      <c r="P9" s="5">
        <f t="shared" si="1"/>
        <v>2031</v>
      </c>
      <c r="Q9" s="5">
        <f t="shared" si="1"/>
        <v>2032</v>
      </c>
      <c r="R9" s="6" t="str">
        <f>Q9+1&amp;"ff."</f>
        <v>2033ff.</v>
      </c>
    </row>
    <row r="10" ht="15.75" customHeight="1">
      <c r="B10" s="2" t="s">
        <v>4</v>
      </c>
      <c r="C10" s="7">
        <f>Optimistisch!C10</f>
        <v>21.2579</v>
      </c>
      <c r="D10" s="7">
        <f>Optimistisch!D10</f>
        <v>21.3644</v>
      </c>
      <c r="E10" s="7">
        <f>Optimistisch!E10</f>
        <v>19.2078</v>
      </c>
      <c r="F10" s="7">
        <f>Optimistisch!F10</f>
        <v>23.2229</v>
      </c>
      <c r="G10" s="7">
        <f>Optimistisch!G10</f>
        <v>23.1826</v>
      </c>
      <c r="H10" s="8">
        <f>Optimistisch!H10</f>
        <v>25.52317</v>
      </c>
      <c r="I10" s="8">
        <f>Optimistisch!I10</f>
        <v>27.05155</v>
      </c>
      <c r="J10" s="8">
        <f>Optimistisch!J10</f>
        <v>28.62091</v>
      </c>
      <c r="K10" s="8">
        <f t="shared" ref="K10:R10" si="2">J10*(1+K11)</f>
        <v>30.0519555</v>
      </c>
      <c r="L10" s="8">
        <f t="shared" si="2"/>
        <v>31.55455328</v>
      </c>
      <c r="M10" s="8">
        <f t="shared" si="2"/>
        <v>32.97450817</v>
      </c>
      <c r="N10" s="8">
        <f t="shared" si="2"/>
        <v>34.2934885</v>
      </c>
      <c r="O10" s="8">
        <f t="shared" si="2"/>
        <v>35.4937606</v>
      </c>
      <c r="P10" s="8">
        <f t="shared" si="2"/>
        <v>36.55857341</v>
      </c>
      <c r="Q10" s="8">
        <f t="shared" si="2"/>
        <v>37.47253775</v>
      </c>
      <c r="R10" s="8">
        <f t="shared" si="2"/>
        <v>38.03462582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0.005009902201</v>
      </c>
      <c r="E11" s="10">
        <f t="shared" si="3"/>
        <v>-0.1009436258</v>
      </c>
      <c r="F11" s="10">
        <f t="shared" si="3"/>
        <v>0.2090348713</v>
      </c>
      <c r="G11" s="10">
        <f t="shared" si="3"/>
        <v>-0.001735356049</v>
      </c>
      <c r="H11" s="11">
        <f t="shared" si="3"/>
        <v>0.1009623597</v>
      </c>
      <c r="I11" s="11">
        <f t="shared" si="3"/>
        <v>0.0598820601</v>
      </c>
      <c r="J11" s="11">
        <f t="shared" si="3"/>
        <v>0.05801368129</v>
      </c>
      <c r="K11" s="11">
        <v>0.05</v>
      </c>
      <c r="L11" s="11">
        <v>0.05</v>
      </c>
      <c r="M11" s="11">
        <v>0.045</v>
      </c>
      <c r="N11" s="11">
        <v>0.04</v>
      </c>
      <c r="O11" s="11">
        <v>0.035</v>
      </c>
      <c r="P11" s="11">
        <v>0.03</v>
      </c>
      <c r="Q11" s="11">
        <v>0.025</v>
      </c>
      <c r="R11" s="11">
        <v>0.015</v>
      </c>
    </row>
    <row r="12" ht="15.75" customHeight="1">
      <c r="B12" s="2" t="s">
        <v>7</v>
      </c>
      <c r="C12" s="10">
        <f t="shared" ref="C12:J12" si="4">C13/C10</f>
        <v>0.4150268841</v>
      </c>
      <c r="D12" s="10">
        <f t="shared" si="4"/>
        <v>0.4245286551</v>
      </c>
      <c r="E12" s="10">
        <f t="shared" si="4"/>
        <v>0.3813034288</v>
      </c>
      <c r="F12" s="10">
        <f t="shared" si="4"/>
        <v>0.4459391377</v>
      </c>
      <c r="G12" s="10">
        <f t="shared" si="4"/>
        <v>0.404225583</v>
      </c>
      <c r="H12" s="11">
        <f t="shared" si="4"/>
        <v>0.4665</v>
      </c>
      <c r="I12" s="11">
        <f t="shared" si="4"/>
        <v>0.4668</v>
      </c>
      <c r="J12" s="11">
        <f t="shared" si="4"/>
        <v>0.4687</v>
      </c>
      <c r="K12" s="11">
        <v>0.45</v>
      </c>
      <c r="L12" s="11">
        <v>0.35</v>
      </c>
      <c r="M12" s="11">
        <v>0.38</v>
      </c>
      <c r="N12" s="11">
        <v>0.4</v>
      </c>
      <c r="O12" s="11">
        <v>0.42</v>
      </c>
      <c r="P12" s="11">
        <v>0.41</v>
      </c>
      <c r="Q12" s="11">
        <v>0.4</v>
      </c>
      <c r="R12" s="11">
        <v>0.4</v>
      </c>
    </row>
    <row r="13" ht="15.75" customHeight="1">
      <c r="B13" s="2" t="s">
        <v>8</v>
      </c>
      <c r="C13" s="7">
        <f>Optimistisch!C13</f>
        <v>8.8226</v>
      </c>
      <c r="D13" s="7">
        <f>Optimistisch!D13</f>
        <v>9.0698</v>
      </c>
      <c r="E13" s="7">
        <f>Optimistisch!E13</f>
        <v>7.324</v>
      </c>
      <c r="F13" s="7">
        <f>Optimistisch!F13</f>
        <v>10.356</v>
      </c>
      <c r="G13" s="7">
        <f>Optimistisch!G13</f>
        <v>9.371</v>
      </c>
      <c r="H13" s="8">
        <f>Optimistisch!H13</f>
        <v>11.90655881</v>
      </c>
      <c r="I13" s="8">
        <f>Optimistisch!I13</f>
        <v>12.62766354</v>
      </c>
      <c r="J13" s="8">
        <f>Optimistisch!J13</f>
        <v>13.41462052</v>
      </c>
      <c r="K13" s="8">
        <f t="shared" ref="K13:R13" si="5">K10*K12</f>
        <v>13.52337998</v>
      </c>
      <c r="L13" s="8">
        <f t="shared" si="5"/>
        <v>11.04409365</v>
      </c>
      <c r="M13" s="8">
        <f t="shared" si="5"/>
        <v>12.53031311</v>
      </c>
      <c r="N13" s="8">
        <f t="shared" si="5"/>
        <v>13.7173954</v>
      </c>
      <c r="O13" s="8">
        <f t="shared" si="5"/>
        <v>14.90737945</v>
      </c>
      <c r="P13" s="8">
        <f t="shared" si="5"/>
        <v>14.9890151</v>
      </c>
      <c r="Q13" s="8">
        <f t="shared" si="5"/>
        <v>14.9890151</v>
      </c>
      <c r="R13" s="8">
        <f t="shared" si="5"/>
        <v>15.21385033</v>
      </c>
    </row>
    <row r="14" ht="15.75" customHeight="1">
      <c r="A14" s="11">
        <v>0.35</v>
      </c>
      <c r="B14" s="2" t="s">
        <v>9</v>
      </c>
      <c r="C14" s="7">
        <f>Optimistisch!C14</f>
        <v>5.9243</v>
      </c>
      <c r="D14" s="7">
        <f>Optimistisch!D14</f>
        <v>6.0254</v>
      </c>
      <c r="E14" s="7">
        <f>Optimistisch!E14</f>
        <v>4.7305</v>
      </c>
      <c r="F14" s="7">
        <f>Optimistisch!F14</f>
        <v>7.5452</v>
      </c>
      <c r="G14" s="7">
        <f>Optimistisch!G14</f>
        <v>6.1774</v>
      </c>
      <c r="H14" s="8">
        <f>Optimistisch!H14</f>
        <v>8.588546705</v>
      </c>
      <c r="I14" s="8">
        <f>Optimistisch!I14</f>
        <v>8.994640375</v>
      </c>
      <c r="J14" s="8">
        <f>Optimistisch!J14</f>
        <v>9.602315305</v>
      </c>
      <c r="K14" s="8">
        <f t="shared" ref="K14:R14" si="6">K13*(1-$A$14)</f>
        <v>8.790196984</v>
      </c>
      <c r="L14" s="8">
        <f t="shared" si="6"/>
        <v>7.17866087</v>
      </c>
      <c r="M14" s="8">
        <f t="shared" si="6"/>
        <v>8.144703519</v>
      </c>
      <c r="N14" s="8">
        <f t="shared" si="6"/>
        <v>8.91630701</v>
      </c>
      <c r="O14" s="8">
        <f t="shared" si="6"/>
        <v>9.689796643</v>
      </c>
      <c r="P14" s="8">
        <f t="shared" si="6"/>
        <v>9.742859815</v>
      </c>
      <c r="Q14" s="8">
        <f t="shared" si="6"/>
        <v>9.742859815</v>
      </c>
      <c r="R14" s="8">
        <f t="shared" si="6"/>
        <v>9.889002712</v>
      </c>
    </row>
    <row r="15" ht="15.75" customHeight="1">
      <c r="A15" s="11">
        <v>0.99</v>
      </c>
      <c r="B15" s="2" t="s">
        <v>10</v>
      </c>
      <c r="H15" s="8">
        <f>C33</f>
        <v>0.72534203</v>
      </c>
      <c r="I15" s="8">
        <f t="shared" ref="I15:Q15" si="7">H15*$A$15</f>
        <v>0.7180886097</v>
      </c>
      <c r="J15" s="8">
        <f t="shared" si="7"/>
        <v>0.7109077236</v>
      </c>
      <c r="K15" s="8">
        <f t="shared" si="7"/>
        <v>0.7037986464</v>
      </c>
      <c r="L15" s="8">
        <f t="shared" si="7"/>
        <v>0.6967606599</v>
      </c>
      <c r="M15" s="8">
        <f t="shared" si="7"/>
        <v>0.6897930533</v>
      </c>
      <c r="N15" s="8">
        <f t="shared" si="7"/>
        <v>0.6828951228</v>
      </c>
      <c r="O15" s="8">
        <f t="shared" si="7"/>
        <v>0.6760661715</v>
      </c>
      <c r="P15" s="8">
        <f t="shared" si="7"/>
        <v>0.6693055098</v>
      </c>
      <c r="Q15" s="8">
        <f t="shared" si="7"/>
        <v>0.6626124547</v>
      </c>
      <c r="R15" s="6" t="s">
        <v>6</v>
      </c>
    </row>
    <row r="16" ht="15.75" customHeight="1">
      <c r="B16" s="2" t="s">
        <v>11</v>
      </c>
      <c r="H16" s="8">
        <f t="shared" ref="H16:Q16" si="8">H14/H15</f>
        <v>11.84068529</v>
      </c>
      <c r="I16" s="8">
        <f t="shared" si="8"/>
        <v>12.52580845</v>
      </c>
      <c r="J16" s="8">
        <f t="shared" si="8"/>
        <v>13.50711912</v>
      </c>
      <c r="K16" s="8">
        <f t="shared" si="8"/>
        <v>12.48964747</v>
      </c>
      <c r="L16" s="8">
        <f t="shared" si="8"/>
        <v>10.30290785</v>
      </c>
      <c r="M16" s="8">
        <f t="shared" si="8"/>
        <v>11.80745947</v>
      </c>
      <c r="N16" s="8">
        <f t="shared" si="8"/>
        <v>13.05662716</v>
      </c>
      <c r="O16" s="8">
        <f t="shared" si="8"/>
        <v>14.33261573</v>
      </c>
      <c r="P16" s="8">
        <f t="shared" si="8"/>
        <v>14.55667057</v>
      </c>
      <c r="Q16" s="8">
        <f t="shared" si="8"/>
        <v>14.70370764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8.062901939</v>
      </c>
      <c r="I17" s="14">
        <f>I14/(1+$B$29)^2</f>
        <v>7.927334728</v>
      </c>
      <c r="J17" s="14">
        <f>J14/(1+$B$29)^3</f>
        <v>7.944947856</v>
      </c>
      <c r="K17" s="14">
        <f>K14/(1+$B$29)^4</f>
        <v>6.827872337</v>
      </c>
      <c r="L17" s="14">
        <f>L14/(1+$B$29)^5</f>
        <v>5.234821992</v>
      </c>
      <c r="M17" s="14">
        <f>M14/(1+$B$29)^6</f>
        <v>5.575777785</v>
      </c>
      <c r="N17" s="14">
        <f>N14/(1+$B$29)^7</f>
        <v>5.73042572</v>
      </c>
      <c r="O17" s="14">
        <f>O14/(1+$B$29)^8</f>
        <v>5.846396054</v>
      </c>
      <c r="P17" s="14">
        <f>P14/(1+$B$29)^9</f>
        <v>5.51863562</v>
      </c>
      <c r="Q17" s="14">
        <f>Q14/(1+$B$29)^10</f>
        <v>5.180878601</v>
      </c>
      <c r="R17" s="15">
        <f>(R14/(B29-R11))/(1+B29)^10</f>
        <v>104.7674333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0.0447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0.020493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0.81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0.065193</v>
      </c>
    </row>
    <row r="30" ht="15.75" customHeight="1"/>
    <row r="31" ht="15.75" customHeight="1">
      <c r="A31" s="3"/>
      <c r="B31" s="3"/>
      <c r="C31" s="24">
        <f>Optimistisch!C31</f>
        <v>45254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204.9381372</v>
      </c>
      <c r="D32" s="8">
        <f>SUM(H17:R17)</f>
        <v>168.6174259</v>
      </c>
    </row>
    <row r="33" ht="15.75" customHeight="1">
      <c r="A33" s="5"/>
      <c r="B33" s="5" t="s">
        <v>22</v>
      </c>
      <c r="C33" s="8">
        <f>Optimistisch!C33</f>
        <v>0.72534203</v>
      </c>
      <c r="D33" s="8">
        <f>C33</f>
        <v>0.72534203</v>
      </c>
    </row>
    <row r="34" ht="15.75" customHeight="1">
      <c r="A34" s="5"/>
      <c r="B34" s="5" t="s">
        <v>23</v>
      </c>
      <c r="C34" s="8">
        <f>Optimistisch!C34</f>
        <v>282.54</v>
      </c>
      <c r="D34" s="8">
        <f>D32/D33</f>
        <v>232.4660904</v>
      </c>
    </row>
    <row r="35" ht="15.75" customHeight="1">
      <c r="A35" s="5"/>
      <c r="B35" s="5" t="s">
        <v>24</v>
      </c>
      <c r="C35" s="5"/>
      <c r="D35" s="11">
        <f>IF(C34/D34-1&gt;0,0,C34/D34-1)*-1</f>
        <v>0</v>
      </c>
    </row>
    <row r="36" ht="15.75" customHeight="1">
      <c r="A36" s="5"/>
      <c r="B36" s="5" t="s">
        <v>25</v>
      </c>
      <c r="C36" s="5"/>
      <c r="D36" s="11">
        <f>IF(C34/D34-1&lt;0,0,C34/D34-1)</f>
        <v>0.21540307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2032:</v>
      </c>
      <c r="D40" s="21">
        <v>17.0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2032:</v>
      </c>
      <c r="D42" s="21">
        <f>Q16*D40</f>
        <v>249.9630299</v>
      </c>
    </row>
    <row r="43" ht="15.75" customHeight="1">
      <c r="A43" s="30"/>
      <c r="D43" s="18"/>
    </row>
    <row r="44" ht="15.75" customHeight="1">
      <c r="A44" s="30" t="s">
        <v>27</v>
      </c>
      <c r="D44" s="20">
        <v>0.5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64.56162437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2032</v>
      </c>
      <c r="D50" s="21">
        <f>D42+D46*(1-D48)</f>
        <v>304.8404106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2032</v>
      </c>
      <c r="D52" s="20">
        <f>D50/C34-1</f>
        <v>0.07892833103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2032 pro Jahr</v>
      </c>
      <c r="B54" s="32"/>
      <c r="C54" s="32"/>
      <c r="D54" s="33">
        <f>(D50/C34)^(1/10)-1</f>
        <v>0.007625755335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McDonald's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2018</v>
      </c>
      <c r="D9" s="2">
        <f t="shared" ref="D9:Q9" si="1">C9+1</f>
        <v>2019</v>
      </c>
      <c r="E9" s="2">
        <f t="shared" si="1"/>
        <v>2020</v>
      </c>
      <c r="F9" s="2">
        <f t="shared" si="1"/>
        <v>2021</v>
      </c>
      <c r="G9" s="2">
        <f t="shared" si="1"/>
        <v>2022</v>
      </c>
      <c r="H9" s="5">
        <f t="shared" si="1"/>
        <v>2023</v>
      </c>
      <c r="I9" s="5">
        <f t="shared" si="1"/>
        <v>2024</v>
      </c>
      <c r="J9" s="5">
        <f t="shared" si="1"/>
        <v>2025</v>
      </c>
      <c r="K9" s="5">
        <f t="shared" si="1"/>
        <v>2026</v>
      </c>
      <c r="L9" s="5">
        <f t="shared" si="1"/>
        <v>2027</v>
      </c>
      <c r="M9" s="5">
        <f t="shared" si="1"/>
        <v>2028</v>
      </c>
      <c r="N9" s="5">
        <f t="shared" si="1"/>
        <v>2029</v>
      </c>
      <c r="O9" s="5">
        <f t="shared" si="1"/>
        <v>2030</v>
      </c>
      <c r="P9" s="5">
        <f t="shared" si="1"/>
        <v>2031</v>
      </c>
      <c r="Q9" s="5">
        <f t="shared" si="1"/>
        <v>2032</v>
      </c>
      <c r="R9" s="6" t="str">
        <f>Q9+1&amp;"ff."</f>
        <v>2033ff.</v>
      </c>
    </row>
    <row r="10" ht="15.75" customHeight="1">
      <c r="B10" s="2" t="s">
        <v>4</v>
      </c>
      <c r="C10" s="7">
        <f>Optimistisch!C10</f>
        <v>21.2579</v>
      </c>
      <c r="D10" s="7">
        <f>Optimistisch!D10</f>
        <v>21.3644</v>
      </c>
      <c r="E10" s="7">
        <f>Optimistisch!E10</f>
        <v>19.2078</v>
      </c>
      <c r="F10" s="7">
        <f>Optimistisch!F10</f>
        <v>23.2229</v>
      </c>
      <c r="G10" s="7">
        <f>Optimistisch!G10</f>
        <v>23.1826</v>
      </c>
      <c r="H10" s="8">
        <f t="shared" ref="H10:R10" si="2">G10*(1+H11)</f>
        <v>24.1678605</v>
      </c>
      <c r="I10" s="8">
        <f t="shared" si="2"/>
        <v>25.19499457</v>
      </c>
      <c r="J10" s="8">
        <f t="shared" si="2"/>
        <v>26.26578184</v>
      </c>
      <c r="K10" s="8">
        <f t="shared" si="2"/>
        <v>27.38207757</v>
      </c>
      <c r="L10" s="8">
        <f t="shared" si="2"/>
        <v>28.54581587</v>
      </c>
      <c r="M10" s="8">
        <f t="shared" si="2"/>
        <v>29.75901304</v>
      </c>
      <c r="N10" s="8">
        <f t="shared" si="2"/>
        <v>31.02377109</v>
      </c>
      <c r="O10" s="8">
        <f t="shared" si="2"/>
        <v>32.34228137</v>
      </c>
      <c r="P10" s="8">
        <f t="shared" si="2"/>
        <v>33.71682832</v>
      </c>
      <c r="Q10" s="8">
        <f t="shared" si="2"/>
        <v>35.14979353</v>
      </c>
      <c r="R10" s="8">
        <f t="shared" si="2"/>
        <v>35.8527894</v>
      </c>
    </row>
    <row r="11" ht="15.75" customHeight="1">
      <c r="B11" s="2" t="s">
        <v>5</v>
      </c>
      <c r="C11" s="9" t="s">
        <v>6</v>
      </c>
      <c r="D11" s="10">
        <f t="shared" ref="D11:G11" si="3">D10/C10-1</f>
        <v>0.005009902201</v>
      </c>
      <c r="E11" s="10">
        <f t="shared" si="3"/>
        <v>-0.1009436258</v>
      </c>
      <c r="F11" s="10">
        <f t="shared" si="3"/>
        <v>0.2090348713</v>
      </c>
      <c r="G11" s="10">
        <f t="shared" si="3"/>
        <v>-0.001735356049</v>
      </c>
      <c r="H11" s="11">
        <v>0.0425</v>
      </c>
      <c r="I11" s="11">
        <f t="shared" ref="I11:Q11" si="4">$H$11</f>
        <v>0.0425</v>
      </c>
      <c r="J11" s="11">
        <f t="shared" si="4"/>
        <v>0.0425</v>
      </c>
      <c r="K11" s="11">
        <f t="shared" si="4"/>
        <v>0.0425</v>
      </c>
      <c r="L11" s="11">
        <f t="shared" si="4"/>
        <v>0.0425</v>
      </c>
      <c r="M11" s="11">
        <f t="shared" si="4"/>
        <v>0.0425</v>
      </c>
      <c r="N11" s="11">
        <f t="shared" si="4"/>
        <v>0.0425</v>
      </c>
      <c r="O11" s="11">
        <f t="shared" si="4"/>
        <v>0.0425</v>
      </c>
      <c r="P11" s="11">
        <f t="shared" si="4"/>
        <v>0.0425</v>
      </c>
      <c r="Q11" s="11">
        <f t="shared" si="4"/>
        <v>0.0425</v>
      </c>
      <c r="R11" s="11">
        <f>Optimistisch!R11</f>
        <v>0.02</v>
      </c>
    </row>
    <row r="12" ht="15.75" customHeight="1">
      <c r="B12" s="2" t="s">
        <v>7</v>
      </c>
      <c r="C12" s="10">
        <f t="shared" ref="C12:G12" si="5">C13/C10</f>
        <v>0.4150268841</v>
      </c>
      <c r="D12" s="10">
        <f t="shared" si="5"/>
        <v>0.4245286551</v>
      </c>
      <c r="E12" s="10">
        <f t="shared" si="5"/>
        <v>0.3813034288</v>
      </c>
      <c r="F12" s="10">
        <f t="shared" si="5"/>
        <v>0.4459391377</v>
      </c>
      <c r="G12" s="10">
        <f t="shared" si="5"/>
        <v>0.404225583</v>
      </c>
      <c r="H12" s="11">
        <f>Optimistisch!H12</f>
        <v>0.4665</v>
      </c>
      <c r="I12" s="11">
        <f>Optimistisch!I12</f>
        <v>0.4668</v>
      </c>
      <c r="J12" s="11">
        <f>Optimistisch!J12</f>
        <v>0.4687</v>
      </c>
      <c r="K12" s="11">
        <f>Optimistisch!K12</f>
        <v>0.47</v>
      </c>
      <c r="L12" s="11">
        <f>Optimistisch!L12</f>
        <v>0.465</v>
      </c>
      <c r="M12" s="11">
        <f>Optimistisch!M12</f>
        <v>0.4</v>
      </c>
      <c r="N12" s="11">
        <f>Optimistisch!N12</f>
        <v>0.42</v>
      </c>
      <c r="O12" s="11">
        <f>Optimistisch!O12</f>
        <v>0.44</v>
      </c>
      <c r="P12" s="11">
        <f>Optimistisch!P12</f>
        <v>0.45</v>
      </c>
      <c r="Q12" s="11">
        <f>Optimistisch!Q12</f>
        <v>0.46</v>
      </c>
      <c r="R12" s="11">
        <f>Optimistisch!R12</f>
        <v>0.465</v>
      </c>
    </row>
    <row r="13" ht="15.75" customHeight="1">
      <c r="B13" s="2" t="s">
        <v>8</v>
      </c>
      <c r="C13" s="7">
        <f>Optimistisch!C13</f>
        <v>8.8226</v>
      </c>
      <c r="D13" s="7">
        <f>Optimistisch!D13</f>
        <v>9.0698</v>
      </c>
      <c r="E13" s="7">
        <f>Optimistisch!E13</f>
        <v>7.324</v>
      </c>
      <c r="F13" s="7">
        <f>Optimistisch!F13</f>
        <v>10.356</v>
      </c>
      <c r="G13" s="7">
        <f>Optimistisch!G13</f>
        <v>9.371</v>
      </c>
      <c r="H13" s="8">
        <f t="shared" ref="H13:R13" si="6">H10*H12</f>
        <v>11.27430692</v>
      </c>
      <c r="I13" s="8">
        <f t="shared" si="6"/>
        <v>11.76102347</v>
      </c>
      <c r="J13" s="8">
        <f t="shared" si="6"/>
        <v>12.31077195</v>
      </c>
      <c r="K13" s="8">
        <f t="shared" si="6"/>
        <v>12.86957646</v>
      </c>
      <c r="L13" s="8">
        <f t="shared" si="6"/>
        <v>13.27380438</v>
      </c>
      <c r="M13" s="8">
        <f t="shared" si="6"/>
        <v>11.90360522</v>
      </c>
      <c r="N13" s="8">
        <f t="shared" si="6"/>
        <v>13.02998386</v>
      </c>
      <c r="O13" s="8">
        <f t="shared" si="6"/>
        <v>14.2306038</v>
      </c>
      <c r="P13" s="8">
        <f t="shared" si="6"/>
        <v>15.17257275</v>
      </c>
      <c r="Q13" s="8">
        <f t="shared" si="6"/>
        <v>16.16890502</v>
      </c>
      <c r="R13" s="8">
        <f t="shared" si="6"/>
        <v>16.67154707</v>
      </c>
    </row>
    <row r="14" ht="15.75" customHeight="1">
      <c r="A14" s="11">
        <f>Optimistisch!A14</f>
        <v>0.3</v>
      </c>
      <c r="B14" s="2" t="s">
        <v>9</v>
      </c>
      <c r="C14" s="7">
        <f>Optimistisch!C14</f>
        <v>5.9243</v>
      </c>
      <c r="D14" s="7">
        <f>Optimistisch!D14</f>
        <v>6.0254</v>
      </c>
      <c r="E14" s="7">
        <f>Optimistisch!E14</f>
        <v>4.7305</v>
      </c>
      <c r="F14" s="7">
        <f>Optimistisch!F14</f>
        <v>7.5452</v>
      </c>
      <c r="G14" s="7">
        <f>Optimistisch!G14</f>
        <v>6.1774</v>
      </c>
      <c r="H14" s="8">
        <f t="shared" ref="H14:R14" si="7">H13*(1-$A$14)</f>
        <v>7.892014846</v>
      </c>
      <c r="I14" s="8">
        <f t="shared" si="7"/>
        <v>8.232716426</v>
      </c>
      <c r="J14" s="8">
        <f t="shared" si="7"/>
        <v>8.617540364</v>
      </c>
      <c r="K14" s="8">
        <f t="shared" si="7"/>
        <v>9.00870352</v>
      </c>
      <c r="L14" s="8">
        <f t="shared" si="7"/>
        <v>9.291663064</v>
      </c>
      <c r="M14" s="8">
        <f t="shared" si="7"/>
        <v>8.332523651</v>
      </c>
      <c r="N14" s="8">
        <f t="shared" si="7"/>
        <v>9.120988702</v>
      </c>
      <c r="O14" s="8">
        <f t="shared" si="7"/>
        <v>9.961422661</v>
      </c>
      <c r="P14" s="8">
        <f t="shared" si="7"/>
        <v>10.62080092</v>
      </c>
      <c r="Q14" s="8">
        <f t="shared" si="7"/>
        <v>11.31823352</v>
      </c>
      <c r="R14" s="8">
        <f t="shared" si="7"/>
        <v>11.67008295</v>
      </c>
    </row>
    <row r="15" ht="15.75" customHeight="1">
      <c r="A15" s="11">
        <f>Optimistisch!A15</f>
        <v>0.97</v>
      </c>
      <c r="B15" s="2" t="s">
        <v>10</v>
      </c>
      <c r="H15" s="8">
        <f>C33</f>
        <v>0.72534203</v>
      </c>
      <c r="I15" s="8">
        <f t="shared" ref="I15:Q15" si="8">H15*$A$15</f>
        <v>0.7035817691</v>
      </c>
      <c r="J15" s="8">
        <f t="shared" si="8"/>
        <v>0.682474316</v>
      </c>
      <c r="K15" s="8">
        <f t="shared" si="8"/>
        <v>0.6620000865</v>
      </c>
      <c r="L15" s="8">
        <f t="shared" si="8"/>
        <v>0.6421400839</v>
      </c>
      <c r="M15" s="8">
        <f t="shared" si="8"/>
        <v>0.6228758814</v>
      </c>
      <c r="N15" s="8">
        <f t="shared" si="8"/>
        <v>0.604189605</v>
      </c>
      <c r="O15" s="8">
        <f t="shared" si="8"/>
        <v>0.5860639168</v>
      </c>
      <c r="P15" s="8">
        <f t="shared" si="8"/>
        <v>0.5684819993</v>
      </c>
      <c r="Q15" s="8">
        <f t="shared" si="8"/>
        <v>0.5514275394</v>
      </c>
      <c r="R15" s="6" t="s">
        <v>6</v>
      </c>
    </row>
    <row r="16" ht="15.75" customHeight="1">
      <c r="B16" s="2" t="s">
        <v>11</v>
      </c>
      <c r="H16" s="8">
        <f t="shared" ref="H16:Q16" si="9">H14/H15</f>
        <v>10.88040472</v>
      </c>
      <c r="I16" s="8">
        <f t="shared" si="9"/>
        <v>11.70115086</v>
      </c>
      <c r="J16" s="8">
        <f t="shared" si="9"/>
        <v>12.62690795</v>
      </c>
      <c r="K16" s="8">
        <f t="shared" si="9"/>
        <v>13.6083117</v>
      </c>
      <c r="L16" s="8">
        <f t="shared" si="9"/>
        <v>14.46983812</v>
      </c>
      <c r="M16" s="8">
        <f t="shared" si="9"/>
        <v>13.37750248</v>
      </c>
      <c r="N16" s="8">
        <f t="shared" si="9"/>
        <v>15.09623573</v>
      </c>
      <c r="O16" s="8">
        <f t="shared" si="9"/>
        <v>16.99716085</v>
      </c>
      <c r="P16" s="8">
        <f t="shared" si="9"/>
        <v>18.68273918</v>
      </c>
      <c r="Q16" s="8">
        <f t="shared" si="9"/>
        <v>20.52533236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7.408999915</v>
      </c>
      <c r="I17" s="14">
        <f>I14/(1+$B$29)^2</f>
        <v>7.255820812</v>
      </c>
      <c r="J17" s="14">
        <f>J14/(1+$B$29)^3</f>
        <v>7.130145872</v>
      </c>
      <c r="K17" s="14">
        <f>K14/(1+$B$29)^4</f>
        <v>6.997599448</v>
      </c>
      <c r="L17" s="14">
        <f>L14/(1+$B$29)^5</f>
        <v>6.775665132</v>
      </c>
      <c r="M17" s="14">
        <f>M14/(1+$B$29)^6</f>
        <v>5.704357459</v>
      </c>
      <c r="N17" s="14">
        <f>N14/(1+$B$29)^7</f>
        <v>5.861972697</v>
      </c>
      <c r="O17" s="14">
        <f>O14/(1+$B$29)^8</f>
        <v>6.010283216</v>
      </c>
      <c r="P17" s="14">
        <f>P14/(1+$B$29)^9</f>
        <v>6.015926678</v>
      </c>
      <c r="Q17" s="14">
        <f>Q14/(1+$B$29)^10</f>
        <v>6.018601821</v>
      </c>
      <c r="R17" s="15">
        <f>(R14/(B29-R11))/(1+B29)^10</f>
        <v>137.3155541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0.0447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0.020493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0.81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0.065193</v>
      </c>
    </row>
    <row r="30" ht="15.75" customHeight="1"/>
    <row r="31" ht="15.75" customHeight="1">
      <c r="A31" s="3"/>
      <c r="B31" s="3"/>
      <c r="C31" s="24">
        <f>Optimistisch!C31</f>
        <v>45254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204.9381372</v>
      </c>
      <c r="D32" s="8">
        <f>SUM(H17:R17)</f>
        <v>202.4949271</v>
      </c>
    </row>
    <row r="33" ht="15.75" customHeight="1">
      <c r="A33" s="5"/>
      <c r="B33" s="5" t="s">
        <v>22</v>
      </c>
      <c r="C33" s="8">
        <f>Optimistisch!C33</f>
        <v>0.72534203</v>
      </c>
      <c r="D33" s="8">
        <f>C33</f>
        <v>0.72534203</v>
      </c>
    </row>
    <row r="34" ht="15.75" customHeight="1">
      <c r="A34" s="5"/>
      <c r="B34" s="5" t="s">
        <v>23</v>
      </c>
      <c r="C34" s="8">
        <f>Optimistisch!C34</f>
        <v>282.54</v>
      </c>
      <c r="D34" s="8">
        <f>D32/D33</f>
        <v>279.1716442</v>
      </c>
    </row>
    <row r="35" ht="15.75" customHeight="1">
      <c r="A35" s="5"/>
      <c r="B35" s="5" t="s">
        <v>24</v>
      </c>
      <c r="C35" s="5"/>
      <c r="D35" s="11">
        <f>IF(C34/D34-1&gt;0,0,C34/D34-1)*-1</f>
        <v>0</v>
      </c>
    </row>
    <row r="36" ht="15.75" customHeight="1">
      <c r="A36" s="5"/>
      <c r="B36" s="5" t="s">
        <v>25</v>
      </c>
      <c r="C36" s="5"/>
      <c r="D36" s="11">
        <f>IF(C34/D34-1&lt;0,0,C34/D34-1)</f>
        <v>0.01206553707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2032:</v>
      </c>
      <c r="D40" s="21">
        <v>32.0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2032:</v>
      </c>
      <c r="D42" s="21">
        <f>Q16*D40</f>
        <v>656.8106354</v>
      </c>
    </row>
    <row r="43" ht="15.75" customHeight="1">
      <c r="A43" s="30"/>
      <c r="D43" s="18"/>
    </row>
    <row r="44" ht="15.75" customHeight="1">
      <c r="A44" s="30" t="s">
        <v>27</v>
      </c>
      <c r="D44" s="20">
        <f>Optimistisch!D44</f>
        <v>0.65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96.17762956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2032</v>
      </c>
      <c r="D50" s="21">
        <f>D42+D46*(1-D48)</f>
        <v>738.5616205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2032</v>
      </c>
      <c r="D52" s="20">
        <f>D50/C34-1</f>
        <v>1.614007293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2032 pro Jahr</v>
      </c>
      <c r="B54" s="32"/>
      <c r="C54" s="32"/>
      <c r="D54" s="33">
        <f>(D50/C34)^(1/10)-1</f>
        <v>0.10085642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4" width="10.33"/>
    <col customWidth="1" hidden="1" min="15" max="18" width="10.33"/>
    <col customWidth="1" min="19" max="26" width="8.33"/>
  </cols>
  <sheetData>
    <row r="1" ht="15.75" customHeight="1"/>
    <row r="2" ht="15.75" customHeight="1">
      <c r="B2" s="1" t="s">
        <v>30</v>
      </c>
    </row>
    <row r="3" ht="15.75" customHeight="1"/>
    <row r="4" ht="15.75" customHeight="1">
      <c r="B4" s="2" t="str">
        <f>Optimistisch!B4</f>
        <v>Annahmen für McDonald's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</row>
    <row r="9" ht="15.75" customHeight="1">
      <c r="C9" s="2">
        <f>Optimistisch!C9</f>
        <v>2018</v>
      </c>
      <c r="D9" s="2">
        <f t="shared" ref="D9:M9" si="1">C9+1</f>
        <v>2019</v>
      </c>
      <c r="E9" s="2">
        <f t="shared" si="1"/>
        <v>2020</v>
      </c>
      <c r="F9" s="2">
        <f t="shared" si="1"/>
        <v>2021</v>
      </c>
      <c r="G9" s="2">
        <f t="shared" si="1"/>
        <v>2022</v>
      </c>
      <c r="H9" s="5">
        <f t="shared" si="1"/>
        <v>2023</v>
      </c>
      <c r="I9" s="5">
        <f t="shared" si="1"/>
        <v>2024</v>
      </c>
      <c r="J9" s="5">
        <f t="shared" si="1"/>
        <v>2025</v>
      </c>
      <c r="K9" s="5">
        <f t="shared" si="1"/>
        <v>2026</v>
      </c>
      <c r="L9" s="5">
        <f t="shared" si="1"/>
        <v>2027</v>
      </c>
      <c r="M9" s="5">
        <f t="shared" si="1"/>
        <v>2028</v>
      </c>
      <c r="R9" s="9"/>
    </row>
    <row r="10" ht="15.75" customHeight="1">
      <c r="B10" s="2" t="s">
        <v>4</v>
      </c>
      <c r="C10" s="7">
        <f>Optimistisch!C10</f>
        <v>21.2579</v>
      </c>
      <c r="D10" s="7">
        <f>Optimistisch!D10</f>
        <v>21.3644</v>
      </c>
      <c r="E10" s="7">
        <f>Optimistisch!E10</f>
        <v>19.2078</v>
      </c>
      <c r="F10" s="7">
        <f>Optimistisch!F10</f>
        <v>23.2229</v>
      </c>
      <c r="G10" s="7">
        <f>Optimistisch!G10</f>
        <v>23.1826</v>
      </c>
      <c r="H10" s="8">
        <f>Optimistisch!H10</f>
        <v>25.52317</v>
      </c>
      <c r="I10" s="8">
        <f>Optimistisch!I10</f>
        <v>27.05155</v>
      </c>
      <c r="J10" s="8">
        <f>Optimistisch!J10</f>
        <v>28.62091</v>
      </c>
      <c r="K10" s="8">
        <f>(Optimistisch!K10+Pessimistisch!K10)/2</f>
        <v>30.26661233</v>
      </c>
      <c r="L10" s="8">
        <f>(Optimistisch!L10+Pessimistisch!L10)/2</f>
        <v>31.93234929</v>
      </c>
      <c r="M10" s="8">
        <f>(Optimistisch!M10+Pessimistisch!M10)/2</f>
        <v>33.53085573</v>
      </c>
      <c r="N10" s="7"/>
      <c r="O10" s="7"/>
      <c r="P10" s="7"/>
      <c r="Q10" s="7"/>
      <c r="R10" s="7"/>
    </row>
    <row r="11" ht="15.75" customHeight="1">
      <c r="B11" s="2" t="s">
        <v>31</v>
      </c>
      <c r="C11" s="10">
        <f t="shared" ref="C11:G11" si="2">C12/C10</f>
        <v>0.1987496413</v>
      </c>
      <c r="D11" s="10">
        <f t="shared" si="2"/>
        <v>0.2681095654</v>
      </c>
      <c r="E11" s="10">
        <f t="shared" si="2"/>
        <v>0.2407355345</v>
      </c>
      <c r="F11" s="10">
        <f t="shared" si="2"/>
        <v>0.3058188254</v>
      </c>
      <c r="G11" s="10">
        <f t="shared" si="2"/>
        <v>0.2367292711</v>
      </c>
      <c r="H11" s="11">
        <v>0.299</v>
      </c>
      <c r="I11" s="11">
        <v>0.322</v>
      </c>
      <c r="J11" s="11">
        <v>0.339</v>
      </c>
      <c r="K11" s="11">
        <v>0.25</v>
      </c>
      <c r="L11" s="11">
        <v>0.34</v>
      </c>
      <c r="M11" s="11">
        <v>0.32</v>
      </c>
      <c r="N11" s="10"/>
      <c r="O11" s="10"/>
      <c r="P11" s="10"/>
      <c r="Q11" s="10"/>
      <c r="R11" s="10"/>
    </row>
    <row r="12" ht="15.75" customHeight="1">
      <c r="B12" s="2" t="s">
        <v>32</v>
      </c>
      <c r="C12" s="7">
        <v>4.225</v>
      </c>
      <c r="D12" s="7">
        <v>5.728</v>
      </c>
      <c r="E12" s="7">
        <v>4.624</v>
      </c>
      <c r="F12" s="7">
        <v>7.102</v>
      </c>
      <c r="G12" s="7">
        <v>5.488</v>
      </c>
      <c r="H12" s="8">
        <f t="shared" ref="H12:M12" si="3">H10*H11</f>
        <v>7.63142783</v>
      </c>
      <c r="I12" s="8">
        <f t="shared" si="3"/>
        <v>8.7105991</v>
      </c>
      <c r="J12" s="8">
        <f t="shared" si="3"/>
        <v>9.70248849</v>
      </c>
      <c r="K12" s="8">
        <f t="shared" si="3"/>
        <v>7.566653081</v>
      </c>
      <c r="L12" s="8">
        <f t="shared" si="3"/>
        <v>10.85699876</v>
      </c>
      <c r="M12" s="8">
        <f t="shared" si="3"/>
        <v>10.72987383</v>
      </c>
      <c r="N12" s="7"/>
      <c r="O12" s="7"/>
      <c r="P12" s="7"/>
      <c r="Q12" s="7"/>
      <c r="R12" s="7"/>
    </row>
    <row r="13" ht="15.75" customHeight="1">
      <c r="F13" s="12" t="s">
        <v>33</v>
      </c>
      <c r="G13" s="13"/>
      <c r="H13" s="14">
        <f>H12/(1+$B$37)</f>
        <v>7.20027074</v>
      </c>
      <c r="I13" s="14">
        <f>I12/(1+$B$37)^2</f>
        <v>7.754147836</v>
      </c>
      <c r="J13" s="14">
        <f>J12/(1+$B$37)^3</f>
        <v>8.149148131</v>
      </c>
      <c r="K13" s="14">
        <f>K12/(1+$B$37)^4</f>
        <v>5.996197433</v>
      </c>
      <c r="L13" s="14">
        <f>L12/(1+$B$37)^5</f>
        <v>8.117548926</v>
      </c>
      <c r="M13" s="15">
        <f>(M12/(B37-B39))/(1+B37)^5</f>
        <v>201.1625885</v>
      </c>
      <c r="N13" s="7"/>
      <c r="O13" s="7"/>
      <c r="P13" s="7"/>
      <c r="Q13" s="7"/>
      <c r="R13" s="7"/>
    </row>
    <row r="14" ht="15.75" customHeight="1"/>
    <row r="15" ht="15.75" customHeight="1">
      <c r="A15" s="16" t="s">
        <v>13</v>
      </c>
      <c r="B15" s="17"/>
    </row>
    <row r="16" ht="15.75" customHeight="1">
      <c r="B16" s="18"/>
    </row>
    <row r="17" ht="15.75" customHeight="1">
      <c r="A17" s="2" t="s">
        <v>14</v>
      </c>
      <c r="B17" s="20">
        <f>Optimistisch!B21</f>
        <v>0.0447</v>
      </c>
    </row>
    <row r="18" ht="15.75" customHeight="1">
      <c r="B18" s="18"/>
    </row>
    <row r="19" ht="15.75" customHeight="1">
      <c r="A19" s="2" t="s">
        <v>15</v>
      </c>
      <c r="B19" s="20">
        <f>(B21-B17)*B23</f>
        <v>0.020493</v>
      </c>
    </row>
    <row r="20" ht="15.75" customHeight="1">
      <c r="B20" s="18"/>
    </row>
    <row r="21" ht="15.75" customHeight="1">
      <c r="A21" s="2" t="s">
        <v>16</v>
      </c>
      <c r="B21" s="20">
        <f>Optimistisch!B25</f>
        <v>0.07</v>
      </c>
    </row>
    <row r="22" ht="15.75" customHeight="1">
      <c r="B22" s="18"/>
    </row>
    <row r="23" ht="15.75" customHeight="1">
      <c r="A23" s="2" t="s">
        <v>17</v>
      </c>
      <c r="B23" s="21">
        <f>Optimistisch!B27</f>
        <v>0.81</v>
      </c>
    </row>
    <row r="24" ht="15.75" customHeight="1">
      <c r="B24" s="18"/>
    </row>
    <row r="25" ht="15.75" customHeight="1">
      <c r="A25" s="22" t="s">
        <v>18</v>
      </c>
      <c r="B25" s="23">
        <f>B17+(B21-B17)*B23</f>
        <v>0.065193</v>
      </c>
    </row>
    <row r="26" ht="15.75" customHeight="1"/>
    <row r="27" ht="15.75" customHeight="1">
      <c r="A27" s="28" t="s">
        <v>34</v>
      </c>
      <c r="B27" s="17"/>
    </row>
    <row r="28" ht="15.75" customHeight="1">
      <c r="A28" s="30"/>
      <c r="B28" s="18"/>
    </row>
    <row r="29" ht="15.75" customHeight="1">
      <c r="A29" s="30" t="s">
        <v>35</v>
      </c>
      <c r="B29" s="21">
        <f>C42</f>
        <v>204.9381372</v>
      </c>
    </row>
    <row r="30" ht="15.75" customHeight="1">
      <c r="A30" s="30"/>
      <c r="B30" s="18"/>
    </row>
    <row r="31" ht="15.75" customHeight="1">
      <c r="A31" s="30" t="s">
        <v>36</v>
      </c>
      <c r="B31" s="21">
        <f>-3.4963+37.2746</f>
        <v>33.7783</v>
      </c>
    </row>
    <row r="32" ht="15.75" customHeight="1">
      <c r="A32" s="30"/>
      <c r="B32" s="18"/>
    </row>
    <row r="33" ht="15.75" customHeight="1">
      <c r="A33" s="30" t="s">
        <v>37</v>
      </c>
      <c r="B33" s="20">
        <v>0.035</v>
      </c>
    </row>
    <row r="34" ht="15.75" customHeight="1">
      <c r="A34" s="30"/>
      <c r="B34" s="18"/>
    </row>
    <row r="35" ht="15.75" customHeight="1">
      <c r="A35" s="30" t="s">
        <v>38</v>
      </c>
      <c r="B35" s="20">
        <v>0.21</v>
      </c>
    </row>
    <row r="36" ht="15.75" customHeight="1">
      <c r="A36" s="30"/>
      <c r="B36" s="18"/>
    </row>
    <row r="37" ht="15.75" customHeight="1">
      <c r="A37" s="34" t="s">
        <v>39</v>
      </c>
      <c r="B37" s="23">
        <f>B25*(B29/(B29+B31))+B33*(B31/(B29+B31))*(1-B35)</f>
        <v>0.05988067743</v>
      </c>
    </row>
    <row r="38" ht="15.75" customHeight="1">
      <c r="B38" s="10"/>
    </row>
    <row r="39" ht="15.75" customHeight="1">
      <c r="A39" s="2" t="s">
        <v>40</v>
      </c>
      <c r="B39" s="10">
        <v>0.02</v>
      </c>
    </row>
    <row r="40" ht="15.75" customHeight="1"/>
    <row r="41" ht="15.75" customHeight="1">
      <c r="A41" s="3"/>
      <c r="B41" s="3"/>
      <c r="C41" s="24">
        <f>Optimistisch!C31</f>
        <v>45254</v>
      </c>
      <c r="D41" s="25" t="s">
        <v>19</v>
      </c>
    </row>
    <row r="42" ht="15.75" customHeight="1">
      <c r="A42" s="5" t="s">
        <v>20</v>
      </c>
      <c r="B42" s="5" t="s">
        <v>21</v>
      </c>
      <c r="C42" s="8">
        <f>C43*C44</f>
        <v>204.9381372</v>
      </c>
      <c r="D42" s="8">
        <f>SUM(H13:M13)-B31</f>
        <v>204.6016016</v>
      </c>
    </row>
    <row r="43" ht="15.75" customHeight="1">
      <c r="A43" s="5"/>
      <c r="B43" s="5" t="s">
        <v>22</v>
      </c>
      <c r="C43" s="8">
        <f>Optimistisch!C33</f>
        <v>0.72534203</v>
      </c>
      <c r="D43" s="8">
        <f>C43</f>
        <v>0.72534203</v>
      </c>
    </row>
    <row r="44" ht="15.75" customHeight="1">
      <c r="A44" s="5"/>
      <c r="B44" s="5" t="s">
        <v>23</v>
      </c>
      <c r="C44" s="8">
        <f>Optimistisch!C34</f>
        <v>282.54</v>
      </c>
      <c r="D44" s="8">
        <f>D42/D43</f>
        <v>282.0760318</v>
      </c>
    </row>
    <row r="45" ht="15.75" customHeight="1">
      <c r="A45" s="5"/>
      <c r="B45" s="5" t="s">
        <v>24</v>
      </c>
      <c r="C45" s="5"/>
      <c r="D45" s="11">
        <f>IF(C44/D44-1&gt;0,0,C44/D44-1)*-1</f>
        <v>0</v>
      </c>
    </row>
    <row r="46" ht="15.75" customHeight="1">
      <c r="A46" s="5"/>
      <c r="B46" s="5" t="s">
        <v>25</v>
      </c>
      <c r="C46" s="5"/>
      <c r="D46" s="11">
        <f>IF(C44/D44-1&lt;0,0,C44/D44-1)</f>
        <v>0.001644833671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2023-11-01T21:06:40Z</dcterms:created>
  <dc:creator>Tilman Reichel</dc:creator>
</cp:coreProperties>
</file>