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lmanreichel/Documents/Wir lieben Aktien/Nibe Industrier/"/>
    </mc:Choice>
  </mc:AlternateContent>
  <xr:revisionPtr revIDLastSave="0" documentId="13_ncr:1_{9F3A14F5-40D2-4143-AB93-9E2A1BEB72B4}" xr6:coauthVersionLast="47" xr6:coauthVersionMax="47" xr10:uidLastSave="{00000000-0000-0000-0000-000000000000}"/>
  <bookViews>
    <workbookView xWindow="0" yWindow="0" windowWidth="68800" windowHeight="28800" xr2:uid="{4D030D5F-AF46-EF49-94E6-2E427342BAB6}"/>
  </bookViews>
  <sheets>
    <sheet name="Optimistisch" sheetId="1" r:id="rId1"/>
    <sheet name="Pessimistisch" sheetId="2" r:id="rId2"/>
    <sheet name="Wachstum für Faire Bewertung" sheetId="3" r:id="rId3"/>
    <sheet name="DCF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4" l="1"/>
  <c r="D12" i="4"/>
  <c r="E12" i="4"/>
  <c r="F12" i="4"/>
  <c r="G12" i="4"/>
  <c r="C33" i="1"/>
  <c r="C43" i="4" s="1"/>
  <c r="D43" i="4" s="1"/>
  <c r="B4" i="4"/>
  <c r="B21" i="4"/>
  <c r="B25" i="4" s="1"/>
  <c r="C44" i="4"/>
  <c r="C41" i="4"/>
  <c r="B23" i="4"/>
  <c r="B17" i="4"/>
  <c r="C9" i="4"/>
  <c r="D9" i="4" s="1"/>
  <c r="E9" i="4" s="1"/>
  <c r="F9" i="4" s="1"/>
  <c r="G9" i="4" s="1"/>
  <c r="H9" i="4" s="1"/>
  <c r="I9" i="4" s="1"/>
  <c r="J9" i="4" s="1"/>
  <c r="K9" i="4" s="1"/>
  <c r="L9" i="4" s="1"/>
  <c r="M9" i="4" s="1"/>
  <c r="C10" i="4"/>
  <c r="C11" i="4" s="1"/>
  <c r="D10" i="4"/>
  <c r="D11" i="4" s="1"/>
  <c r="E10" i="4"/>
  <c r="E11" i="4" s="1"/>
  <c r="F10" i="4"/>
  <c r="G10" i="4"/>
  <c r="J10" i="4"/>
  <c r="J12" i="4" s="1"/>
  <c r="I10" i="4"/>
  <c r="I12" i="4" s="1"/>
  <c r="H10" i="4"/>
  <c r="H12" i="4" s="1"/>
  <c r="B6" i="4"/>
  <c r="B6" i="3"/>
  <c r="B6" i="2"/>
  <c r="F11" i="4" l="1"/>
  <c r="G11" i="4"/>
  <c r="C42" i="4"/>
  <c r="B29" i="4" s="1"/>
  <c r="B37" i="4" s="1"/>
  <c r="B19" i="4"/>
  <c r="J13" i="4" l="1"/>
  <c r="H13" i="4"/>
  <c r="I13" i="4"/>
  <c r="A15" i="3" l="1"/>
  <c r="D48" i="2"/>
  <c r="D48" i="3"/>
  <c r="D44" i="3"/>
  <c r="H15" i="3"/>
  <c r="A14" i="3"/>
  <c r="R11" i="3"/>
  <c r="K12" i="3"/>
  <c r="L12" i="3"/>
  <c r="M12" i="3"/>
  <c r="N12" i="3"/>
  <c r="O12" i="3"/>
  <c r="P12" i="3"/>
  <c r="Q12" i="3"/>
  <c r="R12" i="3"/>
  <c r="J11" i="3"/>
  <c r="K11" i="3"/>
  <c r="L11" i="3"/>
  <c r="M11" i="3"/>
  <c r="N11" i="3"/>
  <c r="O11" i="3"/>
  <c r="P11" i="3"/>
  <c r="Q11" i="3"/>
  <c r="I11" i="3"/>
  <c r="C34" i="3"/>
  <c r="C33" i="3"/>
  <c r="C31" i="3"/>
  <c r="B27" i="3"/>
  <c r="B25" i="3"/>
  <c r="B21" i="3"/>
  <c r="G14" i="3"/>
  <c r="F14" i="3"/>
  <c r="E14" i="3"/>
  <c r="D14" i="3"/>
  <c r="C14" i="3"/>
  <c r="G13" i="3"/>
  <c r="F13" i="3"/>
  <c r="E13" i="3"/>
  <c r="D13" i="3"/>
  <c r="C13" i="3"/>
  <c r="G10" i="3"/>
  <c r="H10" i="3" s="1"/>
  <c r="F10" i="3"/>
  <c r="G11" i="3" s="1"/>
  <c r="E10" i="3"/>
  <c r="D10" i="3"/>
  <c r="C10" i="3"/>
  <c r="D11" i="3" s="1"/>
  <c r="C9" i="3"/>
  <c r="D9" i="3" s="1"/>
  <c r="E9" i="3" s="1"/>
  <c r="F9" i="3" s="1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B4" i="3"/>
  <c r="B27" i="2"/>
  <c r="B25" i="2"/>
  <c r="B21" i="2"/>
  <c r="C34" i="2"/>
  <c r="C33" i="2"/>
  <c r="H15" i="2" s="1"/>
  <c r="C31" i="2"/>
  <c r="J14" i="2"/>
  <c r="I14" i="2"/>
  <c r="H14" i="2"/>
  <c r="I13" i="2"/>
  <c r="J13" i="2"/>
  <c r="H13" i="2"/>
  <c r="D13" i="2"/>
  <c r="D12" i="2" s="1"/>
  <c r="E13" i="2"/>
  <c r="F13" i="2"/>
  <c r="G13" i="2"/>
  <c r="D14" i="2"/>
  <c r="E14" i="2"/>
  <c r="F14" i="2"/>
  <c r="G14" i="2"/>
  <c r="C14" i="2"/>
  <c r="C13" i="2"/>
  <c r="I10" i="2"/>
  <c r="J10" i="2"/>
  <c r="H10" i="2"/>
  <c r="D10" i="2"/>
  <c r="E10" i="2"/>
  <c r="E11" i="2" s="1"/>
  <c r="F10" i="2"/>
  <c r="G10" i="2"/>
  <c r="G11" i="2" s="1"/>
  <c r="C10" i="2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N9" i="2" s="1"/>
  <c r="O9" i="2" s="1"/>
  <c r="P9" i="2" s="1"/>
  <c r="Q9" i="2" s="1"/>
  <c r="R9" i="2" s="1"/>
  <c r="B4" i="2"/>
  <c r="K10" i="2"/>
  <c r="K13" i="2" s="1"/>
  <c r="K14" i="2" s="1"/>
  <c r="C32" i="3" l="1"/>
  <c r="J11" i="2"/>
  <c r="I11" i="2"/>
  <c r="D12" i="3"/>
  <c r="D11" i="2"/>
  <c r="I12" i="2"/>
  <c r="A42" i="2"/>
  <c r="E12" i="3"/>
  <c r="G12" i="3"/>
  <c r="C12" i="3"/>
  <c r="C12" i="2"/>
  <c r="E12" i="2"/>
  <c r="J12" i="2"/>
  <c r="A40" i="2"/>
  <c r="F12" i="3"/>
  <c r="B29" i="3"/>
  <c r="I10" i="3"/>
  <c r="A42" i="3"/>
  <c r="A54" i="3"/>
  <c r="A40" i="3"/>
  <c r="A52" i="3"/>
  <c r="A50" i="3"/>
  <c r="R9" i="3"/>
  <c r="F11" i="3"/>
  <c r="I15" i="3"/>
  <c r="J15" i="3" s="1"/>
  <c r="B23" i="3"/>
  <c r="D33" i="3"/>
  <c r="E11" i="3"/>
  <c r="I15" i="2"/>
  <c r="I16" i="2" s="1"/>
  <c r="C32" i="2"/>
  <c r="B23" i="2"/>
  <c r="B29" i="2"/>
  <c r="J17" i="2" s="1"/>
  <c r="D33" i="2"/>
  <c r="H16" i="2"/>
  <c r="H12" i="2"/>
  <c r="F12" i="2"/>
  <c r="L10" i="2"/>
  <c r="M10" i="2" s="1"/>
  <c r="M13" i="2" s="1"/>
  <c r="M14" i="2" s="1"/>
  <c r="H11" i="2"/>
  <c r="G12" i="2"/>
  <c r="F11" i="2"/>
  <c r="N10" i="2"/>
  <c r="A54" i="2"/>
  <c r="A52" i="2"/>
  <c r="A50" i="2"/>
  <c r="L13" i="2" l="1"/>
  <c r="L14" i="2" s="1"/>
  <c r="J10" i="3"/>
  <c r="I17" i="2"/>
  <c r="H17" i="2"/>
  <c r="K17" i="2"/>
  <c r="K15" i="3"/>
  <c r="L15" i="3" s="1"/>
  <c r="M15" i="3" s="1"/>
  <c r="N15" i="3" s="1"/>
  <c r="O15" i="3" s="1"/>
  <c r="P15" i="3" s="1"/>
  <c r="Q15" i="3" s="1"/>
  <c r="J15" i="2"/>
  <c r="J16" i="2" s="1"/>
  <c r="O10" i="2"/>
  <c r="N13" i="2"/>
  <c r="N14" i="2" s="1"/>
  <c r="L17" i="2"/>
  <c r="M17" i="2"/>
  <c r="K15" i="2" l="1"/>
  <c r="L15" i="2"/>
  <c r="K16" i="2"/>
  <c r="N17" i="2"/>
  <c r="P10" i="2"/>
  <c r="O13" i="2"/>
  <c r="O14" i="2" s="1"/>
  <c r="P13" i="2" l="1"/>
  <c r="P14" i="2" s="1"/>
  <c r="Q10" i="2"/>
  <c r="M15" i="2"/>
  <c r="L16" i="2"/>
  <c r="O17" i="2"/>
  <c r="P17" i="2" l="1"/>
  <c r="N15" i="2"/>
  <c r="M16" i="2"/>
  <c r="Q13" i="2"/>
  <c r="Q14" i="2" s="1"/>
  <c r="R10" i="2"/>
  <c r="R13" i="2" s="1"/>
  <c r="R14" i="2" s="1"/>
  <c r="R17" i="2" s="1"/>
  <c r="Q17" i="2" l="1"/>
  <c r="D32" i="2" s="1"/>
  <c r="D34" i="2" s="1"/>
  <c r="O15" i="2"/>
  <c r="N16" i="2"/>
  <c r="D36" i="2" l="1"/>
  <c r="D35" i="2"/>
  <c r="P15" i="2"/>
  <c r="O16" i="2"/>
  <c r="Q15" i="2" l="1"/>
  <c r="Q16" i="2" s="1"/>
  <c r="P16" i="2"/>
  <c r="D42" i="2" l="1"/>
  <c r="D46" i="2"/>
  <c r="D50" i="2" l="1"/>
  <c r="D54" i="2" s="1"/>
  <c r="D52" i="2" l="1"/>
  <c r="C32" i="1"/>
  <c r="D33" i="1" l="1"/>
  <c r="H15" i="1"/>
  <c r="I15" i="1" s="1"/>
  <c r="B29" i="1"/>
  <c r="B23" i="1"/>
  <c r="K10" i="1"/>
  <c r="D12" i="1"/>
  <c r="E12" i="1"/>
  <c r="F12" i="1"/>
  <c r="G12" i="1"/>
  <c r="H12" i="1"/>
  <c r="H12" i="3" s="1"/>
  <c r="H13" i="3" s="1"/>
  <c r="H14" i="3" s="1"/>
  <c r="I12" i="1"/>
  <c r="I12" i="3" s="1"/>
  <c r="I13" i="3" s="1"/>
  <c r="I14" i="3" s="1"/>
  <c r="J12" i="1"/>
  <c r="J12" i="3" s="1"/>
  <c r="J13" i="3" s="1"/>
  <c r="J14" i="3" s="1"/>
  <c r="C12" i="1"/>
  <c r="H11" i="1"/>
  <c r="I11" i="1"/>
  <c r="J11" i="1"/>
  <c r="E11" i="1"/>
  <c r="F11" i="1"/>
  <c r="G11" i="1"/>
  <c r="D11" i="1"/>
  <c r="D9" i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l="1"/>
  <c r="A42" i="1"/>
  <c r="K13" i="1"/>
  <c r="K14" i="1" s="1"/>
  <c r="K10" i="4"/>
  <c r="K12" i="4" s="1"/>
  <c r="K13" i="4" s="1"/>
  <c r="J16" i="3"/>
  <c r="J17" i="3"/>
  <c r="I16" i="3"/>
  <c r="I17" i="3"/>
  <c r="H16" i="3"/>
  <c r="H17" i="3"/>
  <c r="H16" i="1"/>
  <c r="I16" i="1"/>
  <c r="J15" i="1"/>
  <c r="A40" i="1"/>
  <c r="H17" i="1"/>
  <c r="A50" i="1"/>
  <c r="I17" i="1"/>
  <c r="J17" i="1"/>
  <c r="A52" i="1"/>
  <c r="K17" i="1"/>
  <c r="A54" i="1"/>
  <c r="L10" i="1"/>
  <c r="L10" i="4" s="1"/>
  <c r="L12" i="4" s="1"/>
  <c r="L13" i="4" s="1"/>
  <c r="K15" i="1" l="1"/>
  <c r="J16" i="1"/>
  <c r="M10" i="1"/>
  <c r="M10" i="4" s="1"/>
  <c r="M12" i="4" s="1"/>
  <c r="M13" i="4" s="1"/>
  <c r="D42" i="4" s="1"/>
  <c r="D44" i="4" s="1"/>
  <c r="L13" i="1"/>
  <c r="L14" i="1" s="1"/>
  <c r="D46" i="4" l="1"/>
  <c r="D45" i="4"/>
  <c r="L15" i="1"/>
  <c r="M15" i="1" s="1"/>
  <c r="N15" i="1" s="1"/>
  <c r="O15" i="1" s="1"/>
  <c r="P15" i="1" s="1"/>
  <c r="Q15" i="1" s="1"/>
  <c r="K16" i="1"/>
  <c r="L17" i="1"/>
  <c r="N10" i="1"/>
  <c r="M13" i="1"/>
  <c r="M14" i="1" s="1"/>
  <c r="L16" i="1" l="1"/>
  <c r="M16" i="1"/>
  <c r="M17" i="1"/>
  <c r="O10" i="1"/>
  <c r="N13" i="1"/>
  <c r="N14" i="1" s="1"/>
  <c r="N16" i="1" l="1"/>
  <c r="N17" i="1"/>
  <c r="P10" i="1"/>
  <c r="O13" i="1"/>
  <c r="O14" i="1" s="1"/>
  <c r="O16" i="1" l="1"/>
  <c r="O17" i="1"/>
  <c r="Q10" i="1"/>
  <c r="P13" i="1"/>
  <c r="P14" i="1" s="1"/>
  <c r="P16" i="1" l="1"/>
  <c r="P17" i="1"/>
  <c r="R10" i="1"/>
  <c r="R13" i="1" s="1"/>
  <c r="R14" i="1" s="1"/>
  <c r="R17" i="1" s="1"/>
  <c r="Q13" i="1"/>
  <c r="Q14" i="1" s="1"/>
  <c r="Q17" i="1" l="1"/>
  <c r="D32" i="1" s="1"/>
  <c r="D34" i="1" s="1"/>
  <c r="D35" i="1" s="1"/>
  <c r="Q16" i="1"/>
  <c r="D36" i="1" l="1"/>
  <c r="D42" i="1"/>
  <c r="D46" i="1"/>
  <c r="D50" i="1" l="1"/>
  <c r="D54" i="1" l="1"/>
  <c r="D52" i="1"/>
  <c r="K10" i="3" l="1"/>
  <c r="L10" i="3" s="1"/>
  <c r="K13" i="3"/>
  <c r="K14" i="3" s="1"/>
  <c r="K17" i="3" s="1"/>
  <c r="L13" i="3" l="1"/>
  <c r="L14" i="3" s="1"/>
  <c r="M10" i="3"/>
  <c r="K16" i="3"/>
  <c r="M13" i="3" l="1"/>
  <c r="M14" i="3" s="1"/>
  <c r="N10" i="3"/>
  <c r="L17" i="3"/>
  <c r="L16" i="3"/>
  <c r="N13" i="3" l="1"/>
  <c r="N14" i="3" s="1"/>
  <c r="O10" i="3"/>
  <c r="M16" i="3"/>
  <c r="M17" i="3"/>
  <c r="P10" i="3" l="1"/>
  <c r="O13" i="3"/>
  <c r="O14" i="3" s="1"/>
  <c r="N16" i="3"/>
  <c r="N17" i="3"/>
  <c r="O16" i="3" l="1"/>
  <c r="O17" i="3"/>
  <c r="P13" i="3"/>
  <c r="P14" i="3" s="1"/>
  <c r="Q10" i="3"/>
  <c r="Q13" i="3" l="1"/>
  <c r="Q14" i="3" s="1"/>
  <c r="R10" i="3"/>
  <c r="R13" i="3" s="1"/>
  <c r="R14" i="3" s="1"/>
  <c r="R17" i="3" s="1"/>
  <c r="P17" i="3"/>
  <c r="P16" i="3"/>
  <c r="Q16" i="3" l="1"/>
  <c r="Q17" i="3"/>
  <c r="D32" i="3" s="1"/>
  <c r="D34" i="3" s="1"/>
  <c r="D42" i="3" l="1"/>
  <c r="D46" i="3"/>
  <c r="D36" i="3"/>
  <c r="D35" i="3"/>
  <c r="D50" i="3" l="1"/>
  <c r="D52" i="3" l="1"/>
  <c r="D54" i="3"/>
</calcChain>
</file>

<file path=xl/sharedStrings.xml><?xml version="1.0" encoding="utf-8"?>
<sst xmlns="http://schemas.openxmlformats.org/spreadsheetml/2006/main" count="118" uniqueCount="41">
  <si>
    <t>Discounted Net-Profit Modell</t>
  </si>
  <si>
    <t>Alle Angaben in Mrd.</t>
  </si>
  <si>
    <t>Umsatz</t>
  </si>
  <si>
    <t>Umsatzwachstum</t>
  </si>
  <si>
    <t>EBIT Marge</t>
  </si>
  <si>
    <t>EBIT</t>
  </si>
  <si>
    <t>Gewinn (abzgl. Steuern, Zinsen)</t>
  </si>
  <si>
    <t>Anzahl an Aktien</t>
  </si>
  <si>
    <t>Gewinn je Aktie</t>
  </si>
  <si>
    <t>Schätzungen »</t>
  </si>
  <si>
    <t>-</t>
  </si>
  <si>
    <t>Risikoloser Basiszins:</t>
  </si>
  <si>
    <t>Risikoprämie:</t>
  </si>
  <si>
    <t>Marktrendite:</t>
  </si>
  <si>
    <t>Beta-Faktor:</t>
  </si>
  <si>
    <t>Eigenkapitalkosten:</t>
  </si>
  <si>
    <t>Fairer Wert</t>
  </si>
  <si>
    <t>Bewertung</t>
  </si>
  <si>
    <t>Marktkapitalisierung</t>
  </si>
  <si>
    <t>Kurs je Aktie</t>
  </si>
  <si>
    <t>Unterbewertung</t>
  </si>
  <si>
    <t>Überbewertung</t>
  </si>
  <si>
    <t>Abgezinster Gewinn</t>
  </si>
  <si>
    <t>Berechnung der Renditeerwartung:</t>
  </si>
  <si>
    <t>Berechnung der Eigenkapitalkosten:</t>
  </si>
  <si>
    <t>Durchschnittliche Ausschüttungsquote:</t>
  </si>
  <si>
    <t>Ausgeschüttete Gewinne:</t>
  </si>
  <si>
    <t>Quellensteuer</t>
  </si>
  <si>
    <t>Anzahl an Aktien (abzgl. Aktienrückkäufe)</t>
  </si>
  <si>
    <t>Discounted Cashflow Modell</t>
  </si>
  <si>
    <t>Free Cashflow Marge</t>
  </si>
  <si>
    <t>Free Cashflow</t>
  </si>
  <si>
    <t>Abgezinster Free Cashflow</t>
  </si>
  <si>
    <t>Berechnung der WACC:</t>
  </si>
  <si>
    <t>Zinsrate (durchschnittlich):</t>
  </si>
  <si>
    <t>Steuerrate (durchschnittlich):</t>
  </si>
  <si>
    <t>WACC:</t>
  </si>
  <si>
    <t>Wachstumsabschlag:</t>
  </si>
  <si>
    <t>Marktkapitalisierung:</t>
  </si>
  <si>
    <t>Verzinstes Fremdkapital:</t>
  </si>
  <si>
    <t>Annahmen für Nibe Industrier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</si>
</sst>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1" fillId="2" borderId="0" xfId="0" applyFont="1" applyFill="1"/>
    <xf numFmtId="2" fontId="0" fillId="0" borderId="0" xfId="0" applyNumberFormat="1"/>
    <xf numFmtId="10" fontId="0" fillId="0" borderId="0" xfId="0" applyNumberFormat="1"/>
    <xf numFmtId="0" fontId="0" fillId="3" borderId="0" xfId="0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0" fontId="0" fillId="3" borderId="0" xfId="0" applyNumberForma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0" fontId="0" fillId="0" borderId="5" xfId="0" applyNumberFormat="1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10" fontId="0" fillId="0" borderId="8" xfId="0" applyNumberFormat="1" applyBorder="1"/>
    <xf numFmtId="0" fontId="2" fillId="0" borderId="2" xfId="0" applyFont="1" applyBorder="1"/>
    <xf numFmtId="0" fontId="3" fillId="0" borderId="0" xfId="0" applyFont="1"/>
    <xf numFmtId="0" fontId="0" fillId="0" borderId="9" xfId="0" applyBorder="1"/>
    <xf numFmtId="0" fontId="0" fillId="0" borderId="10" xfId="0" applyBorder="1"/>
    <xf numFmtId="2" fontId="0" fillId="4" borderId="10" xfId="0" applyNumberFormat="1" applyFill="1" applyBorder="1"/>
    <xf numFmtId="0" fontId="0" fillId="4" borderId="0" xfId="0" applyFill="1"/>
    <xf numFmtId="0" fontId="2" fillId="0" borderId="1" xfId="0" applyFont="1" applyBorder="1"/>
    <xf numFmtId="2" fontId="0" fillId="4" borderId="11" xfId="0" applyNumberFormat="1" applyFill="1" applyBorder="1"/>
    <xf numFmtId="0" fontId="0" fillId="3" borderId="6" xfId="0" applyFill="1" applyBorder="1"/>
    <xf numFmtId="0" fontId="0" fillId="3" borderId="7" xfId="0" applyFill="1" applyBorder="1"/>
    <xf numFmtId="10" fontId="0" fillId="3" borderId="8" xfId="0" applyNumberFormat="1" applyFill="1" applyBorder="1"/>
    <xf numFmtId="1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C8DC1-CC71-A848-BEC7-DC901284256A}">
  <dimension ref="A1:R65"/>
  <sheetViews>
    <sheetView showGridLines="0" showRowColHeaders="0" tabSelected="1" workbookViewId="0"/>
  </sheetViews>
  <sheetFormatPr baseColWidth="10" defaultColWidth="0" defaultRowHeight="16" zeroHeight="1" x14ac:dyDescent="0.2"/>
  <cols>
    <col min="1" max="1" width="22.5" customWidth="1"/>
    <col min="2" max="2" width="35" customWidth="1"/>
    <col min="3" max="18" width="13.33203125" customWidth="1"/>
    <col min="19" max="19" width="10.83203125" customWidth="1"/>
    <col min="20" max="16384" width="10.83203125" hidden="1"/>
  </cols>
  <sheetData>
    <row r="1" spans="1:18" x14ac:dyDescent="0.2"/>
    <row r="2" spans="1:18" ht="26" x14ac:dyDescent="0.3">
      <c r="B2" s="20" t="s">
        <v>0</v>
      </c>
    </row>
    <row r="3" spans="1:18" x14ac:dyDescent="0.2"/>
    <row r="4" spans="1:18" x14ac:dyDescent="0.2">
      <c r="B4" t="s">
        <v>40</v>
      </c>
    </row>
    <row r="5" spans="1:18" x14ac:dyDescent="0.2"/>
    <row r="6" spans="1:18" x14ac:dyDescent="0.2">
      <c r="B6" t="s">
        <v>1</v>
      </c>
    </row>
    <row r="7" spans="1:18" x14ac:dyDescent="0.2"/>
    <row r="8" spans="1:18" x14ac:dyDescent="0.2">
      <c r="A8" s="2"/>
      <c r="B8" s="2"/>
      <c r="C8" s="2"/>
      <c r="D8" s="2"/>
      <c r="E8" s="2"/>
      <c r="F8" s="2"/>
      <c r="G8" s="2"/>
      <c r="H8" s="3" t="s">
        <v>9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">
      <c r="C9">
        <v>2018</v>
      </c>
      <c r="D9">
        <f>C9+1</f>
        <v>2019</v>
      </c>
      <c r="E9">
        <f t="shared" ref="E9:Q9" si="0">D9+1</f>
        <v>2020</v>
      </c>
      <c r="F9">
        <f t="shared" si="0"/>
        <v>2021</v>
      </c>
      <c r="G9">
        <f t="shared" si="0"/>
        <v>2022</v>
      </c>
      <c r="H9" s="6">
        <f t="shared" si="0"/>
        <v>2023</v>
      </c>
      <c r="I9" s="6">
        <f t="shared" si="0"/>
        <v>2024</v>
      </c>
      <c r="J9" s="6">
        <f t="shared" si="0"/>
        <v>2025</v>
      </c>
      <c r="K9" s="6">
        <f t="shared" si="0"/>
        <v>2026</v>
      </c>
      <c r="L9" s="6">
        <f t="shared" si="0"/>
        <v>2027</v>
      </c>
      <c r="M9" s="6">
        <f t="shared" si="0"/>
        <v>2028</v>
      </c>
      <c r="N9" s="6">
        <f t="shared" si="0"/>
        <v>2029</v>
      </c>
      <c r="O9" s="6">
        <f t="shared" si="0"/>
        <v>2030</v>
      </c>
      <c r="P9" s="6">
        <f t="shared" si="0"/>
        <v>2031</v>
      </c>
      <c r="Q9" s="6">
        <f t="shared" si="0"/>
        <v>2032</v>
      </c>
      <c r="R9" s="7" t="str">
        <f>Q9+1&amp;"ff."</f>
        <v>2033ff.</v>
      </c>
    </row>
    <row r="10" spans="1:18" x14ac:dyDescent="0.2">
      <c r="B10" t="s">
        <v>2</v>
      </c>
      <c r="C10" s="4">
        <v>22.515999999999998</v>
      </c>
      <c r="D10" s="4">
        <v>25.341999999999999</v>
      </c>
      <c r="E10" s="4">
        <v>27.146000000000001</v>
      </c>
      <c r="F10" s="4">
        <v>30.832000000000001</v>
      </c>
      <c r="G10" s="4">
        <v>40.070999999999998</v>
      </c>
      <c r="H10" s="8">
        <v>48.542070000000002</v>
      </c>
      <c r="I10" s="8">
        <v>53.16433</v>
      </c>
      <c r="J10" s="8">
        <v>59.281120000000001</v>
      </c>
      <c r="K10" s="8">
        <f>J10*(1+K11)</f>
        <v>69.951721599999999</v>
      </c>
      <c r="L10" s="8">
        <f t="shared" ref="L10:R10" si="1">K10*(1+L11)</f>
        <v>81.143997055999989</v>
      </c>
      <c r="M10" s="8">
        <f t="shared" si="1"/>
        <v>93.315596614399979</v>
      </c>
      <c r="N10" s="8">
        <f t="shared" si="1"/>
        <v>107.31293610655997</v>
      </c>
      <c r="O10" s="8">
        <f t="shared" si="1"/>
        <v>122.33674716147839</v>
      </c>
      <c r="P10" s="8">
        <f t="shared" si="1"/>
        <v>138.85220802827797</v>
      </c>
      <c r="Q10" s="8">
        <f t="shared" si="1"/>
        <v>156.90299507195408</v>
      </c>
      <c r="R10" s="8">
        <f t="shared" si="1"/>
        <v>160.82556994875293</v>
      </c>
    </row>
    <row r="11" spans="1:18" x14ac:dyDescent="0.2">
      <c r="B11" t="s">
        <v>3</v>
      </c>
      <c r="C11" s="1" t="s">
        <v>10</v>
      </c>
      <c r="D11" s="5">
        <f>D10/C10-1</f>
        <v>0.12551074791259542</v>
      </c>
      <c r="E11" s="5">
        <f t="shared" ref="E11:G11" si="2">E10/D10-1</f>
        <v>7.1186173151290388E-2</v>
      </c>
      <c r="F11" s="5">
        <f t="shared" si="2"/>
        <v>0.13578427760996092</v>
      </c>
      <c r="G11" s="5">
        <f t="shared" si="2"/>
        <v>0.29965620134924742</v>
      </c>
      <c r="H11" s="9">
        <f t="shared" ref="H11" si="3">H10/G10-1</f>
        <v>0.21140151231563986</v>
      </c>
      <c r="I11" s="9">
        <f t="shared" ref="I11" si="4">I10/H10-1</f>
        <v>9.5221732406549631E-2</v>
      </c>
      <c r="J11" s="9">
        <f t="shared" ref="J11" si="5">J10/I10-1</f>
        <v>0.1150543983155623</v>
      </c>
      <c r="K11" s="9">
        <v>0.18</v>
      </c>
      <c r="L11" s="9">
        <v>0.16</v>
      </c>
      <c r="M11" s="9">
        <v>0.15</v>
      </c>
      <c r="N11" s="9">
        <v>0.15</v>
      </c>
      <c r="O11" s="9">
        <v>0.14000000000000001</v>
      </c>
      <c r="P11" s="9">
        <v>0.13500000000000001</v>
      </c>
      <c r="Q11" s="9">
        <v>0.13</v>
      </c>
      <c r="R11" s="9">
        <v>2.5000000000000001E-2</v>
      </c>
    </row>
    <row r="12" spans="1:18" x14ac:dyDescent="0.2">
      <c r="B12" t="s">
        <v>4</v>
      </c>
      <c r="C12" s="5">
        <f>C13/C10</f>
        <v>0.12564398649848998</v>
      </c>
      <c r="D12" s="5">
        <f t="shared" ref="D12:J12" si="6">D13/D10</f>
        <v>0.11988004103859205</v>
      </c>
      <c r="E12" s="5">
        <f t="shared" si="6"/>
        <v>0.14293081853680101</v>
      </c>
      <c r="F12" s="5">
        <f t="shared" si="6"/>
        <v>0.14491437467566165</v>
      </c>
      <c r="G12" s="5">
        <f t="shared" si="6"/>
        <v>0.14631529035961172</v>
      </c>
      <c r="H12" s="9">
        <f t="shared" si="6"/>
        <v>0.1542</v>
      </c>
      <c r="I12" s="9">
        <f t="shared" si="6"/>
        <v>0.15260000000000001</v>
      </c>
      <c r="J12" s="9">
        <f t="shared" si="6"/>
        <v>0.15359999999999999</v>
      </c>
      <c r="K12" s="9">
        <v>0.1575</v>
      </c>
      <c r="L12" s="9">
        <v>0.16</v>
      </c>
      <c r="M12" s="9">
        <v>0.16</v>
      </c>
      <c r="N12" s="9">
        <v>0.16250000000000001</v>
      </c>
      <c r="O12" s="9">
        <v>0.16500000000000001</v>
      </c>
      <c r="P12" s="9">
        <v>0.16500000000000001</v>
      </c>
      <c r="Q12" s="9">
        <v>0.16750000000000001</v>
      </c>
      <c r="R12" s="9">
        <v>0.17</v>
      </c>
    </row>
    <row r="13" spans="1:18" x14ac:dyDescent="0.2">
      <c r="B13" t="s">
        <v>5</v>
      </c>
      <c r="C13" s="4">
        <v>2.8290000000000002</v>
      </c>
      <c r="D13" s="4">
        <v>3.0379999999999998</v>
      </c>
      <c r="E13" s="4">
        <v>3.88</v>
      </c>
      <c r="F13" s="4">
        <v>4.468</v>
      </c>
      <c r="G13" s="4">
        <v>5.8630000000000004</v>
      </c>
      <c r="H13" s="8">
        <v>7.4851871940000008</v>
      </c>
      <c r="I13" s="8">
        <v>8.1128767580000005</v>
      </c>
      <c r="J13" s="8">
        <v>9.1055800319999989</v>
      </c>
      <c r="K13" s="8">
        <f>K10*K12</f>
        <v>11.017396152</v>
      </c>
      <c r="L13" s="8">
        <f t="shared" ref="L13:R13" si="7">L10*L12</f>
        <v>12.983039528959999</v>
      </c>
      <c r="M13" s="8">
        <f t="shared" si="7"/>
        <v>14.930495458303996</v>
      </c>
      <c r="N13" s="8">
        <f t="shared" si="7"/>
        <v>17.438352117315997</v>
      </c>
      <c r="O13" s="8">
        <f t="shared" si="7"/>
        <v>20.185563281643933</v>
      </c>
      <c r="P13" s="8">
        <f t="shared" si="7"/>
        <v>22.910614324665865</v>
      </c>
      <c r="Q13" s="8">
        <f t="shared" si="7"/>
        <v>26.281251674552308</v>
      </c>
      <c r="R13" s="8">
        <f t="shared" si="7"/>
        <v>27.340346891288</v>
      </c>
    </row>
    <row r="14" spans="1:18" x14ac:dyDescent="0.2">
      <c r="A14" s="9">
        <v>0.25</v>
      </c>
      <c r="B14" t="s">
        <v>6</v>
      </c>
      <c r="C14" s="4">
        <v>2.0739999999999998</v>
      </c>
      <c r="D14" s="4">
        <v>2.1700000000000004</v>
      </c>
      <c r="E14" s="4">
        <v>2.8660000000000001</v>
      </c>
      <c r="F14" s="4">
        <v>3.3200000000000003</v>
      </c>
      <c r="G14" s="4">
        <v>4.351</v>
      </c>
      <c r="H14" s="8">
        <v>5.383315563</v>
      </c>
      <c r="I14" s="8">
        <v>5.9171899290000001</v>
      </c>
      <c r="J14" s="8">
        <v>6.6335573280000002</v>
      </c>
      <c r="K14" s="8">
        <f>K13*(1-$A$14)</f>
        <v>8.263047113999999</v>
      </c>
      <c r="L14" s="8">
        <f t="shared" ref="L14:R14" si="8">L13*(1-$A$14)</f>
        <v>9.7372796467199993</v>
      </c>
      <c r="M14" s="8">
        <f t="shared" si="8"/>
        <v>11.197871593727998</v>
      </c>
      <c r="N14" s="8">
        <f t="shared" si="8"/>
        <v>13.078764087986997</v>
      </c>
      <c r="O14" s="8">
        <f t="shared" si="8"/>
        <v>15.139172461232949</v>
      </c>
      <c r="P14" s="8">
        <f t="shared" si="8"/>
        <v>17.1829607434994</v>
      </c>
      <c r="Q14" s="8">
        <f t="shared" si="8"/>
        <v>19.710938755914231</v>
      </c>
      <c r="R14" s="8">
        <f t="shared" si="8"/>
        <v>20.505260168466002</v>
      </c>
    </row>
    <row r="15" spans="1:18" x14ac:dyDescent="0.2">
      <c r="A15" s="9">
        <v>1</v>
      </c>
      <c r="B15" t="s">
        <v>28</v>
      </c>
      <c r="H15" s="8">
        <f>C33</f>
        <v>2.0160664879999999</v>
      </c>
      <c r="I15" s="8">
        <f>H15*$A$15</f>
        <v>2.0160664879999999</v>
      </c>
      <c r="J15" s="8">
        <f t="shared" ref="J15:Q15" si="9">I15*$A$15</f>
        <v>2.0160664879999999</v>
      </c>
      <c r="K15" s="8">
        <f t="shared" si="9"/>
        <v>2.0160664879999999</v>
      </c>
      <c r="L15" s="8">
        <f t="shared" si="9"/>
        <v>2.0160664879999999</v>
      </c>
      <c r="M15" s="8">
        <f t="shared" si="9"/>
        <v>2.0160664879999999</v>
      </c>
      <c r="N15" s="8">
        <f t="shared" si="9"/>
        <v>2.0160664879999999</v>
      </c>
      <c r="O15" s="8">
        <f t="shared" si="9"/>
        <v>2.0160664879999999</v>
      </c>
      <c r="P15" s="8">
        <f t="shared" si="9"/>
        <v>2.0160664879999999</v>
      </c>
      <c r="Q15" s="8">
        <f t="shared" si="9"/>
        <v>2.0160664879999999</v>
      </c>
      <c r="R15" s="7" t="s">
        <v>10</v>
      </c>
    </row>
    <row r="16" spans="1:18" x14ac:dyDescent="0.2">
      <c r="B16" t="s">
        <v>8</v>
      </c>
      <c r="H16" s="8">
        <f>H14/H15</f>
        <v>2.670207354292375</v>
      </c>
      <c r="I16" s="8">
        <f t="shared" ref="I16:P16" si="10">I14/I15</f>
        <v>2.9350172547483964</v>
      </c>
      <c r="J16" s="8">
        <f t="shared" si="10"/>
        <v>3.2903465076594243</v>
      </c>
      <c r="K16" s="8">
        <f t="shared" si="10"/>
        <v>4.0985985150704014</v>
      </c>
      <c r="L16" s="8">
        <f t="shared" si="10"/>
        <v>4.829840535854391</v>
      </c>
      <c r="M16" s="8">
        <f t="shared" si="10"/>
        <v>5.5543166162325486</v>
      </c>
      <c r="N16" s="8">
        <f t="shared" si="10"/>
        <v>6.4872682353653595</v>
      </c>
      <c r="O16" s="8">
        <f t="shared" si="10"/>
        <v>7.509262492752149</v>
      </c>
      <c r="P16" s="8">
        <f t="shared" si="10"/>
        <v>8.5230129292736905</v>
      </c>
      <c r="Q16" s="8">
        <f>Q14/Q15</f>
        <v>9.7769289223531963</v>
      </c>
      <c r="R16" s="7" t="s">
        <v>10</v>
      </c>
    </row>
    <row r="17" spans="1:18" x14ac:dyDescent="0.2">
      <c r="F17" s="21" t="s">
        <v>22</v>
      </c>
      <c r="G17" s="22"/>
      <c r="H17" s="23">
        <f>H14/(1+$B$29)</f>
        <v>4.9604724870247887</v>
      </c>
      <c r="I17" s="23">
        <f>I14/(1+$B$29)^2</f>
        <v>5.0241422024834117</v>
      </c>
      <c r="J17" s="23">
        <f>J14/(1+$B$29)^3</f>
        <v>5.1899850548127091</v>
      </c>
      <c r="K17" s="23">
        <f>K14/(1+$B$29)^4</f>
        <v>5.95707484162598</v>
      </c>
      <c r="L17" s="23">
        <f>L14/(1+$B$29)^5</f>
        <v>6.4685014075350606</v>
      </c>
      <c r="M17" s="23">
        <f>M14/(1+$B$29)^6</f>
        <v>6.8544833239255913</v>
      </c>
      <c r="N17" s="23">
        <f>N14/(1+$B$29)^7</f>
        <v>7.3769893086026554</v>
      </c>
      <c r="O17" s="23">
        <f>O14/(1+$B$29)^8</f>
        <v>7.8684246655153993</v>
      </c>
      <c r="P17" s="23">
        <f>P14/(1+$B$29)^9</f>
        <v>8.2291856385646316</v>
      </c>
      <c r="Q17" s="23">
        <f>Q14/(1+$B$29)^10</f>
        <v>8.6984000391439977</v>
      </c>
      <c r="R17" s="26">
        <f>(R14/(B29-R11))/(1+B29)^10</f>
        <v>150.20845047989167</v>
      </c>
    </row>
    <row r="18" spans="1:18" x14ac:dyDescent="0.2"/>
    <row r="19" spans="1:18" x14ac:dyDescent="0.2">
      <c r="A19" s="19" t="s">
        <v>24</v>
      </c>
      <c r="B19" s="11"/>
    </row>
    <row r="20" spans="1:18" x14ac:dyDescent="0.2">
      <c r="B20" s="13"/>
    </row>
    <row r="21" spans="1:18" x14ac:dyDescent="0.2">
      <c r="A21" t="s">
        <v>11</v>
      </c>
      <c r="B21" s="14">
        <v>2.6450000000000001E-2</v>
      </c>
    </row>
    <row r="22" spans="1:18" x14ac:dyDescent="0.2">
      <c r="B22" s="13"/>
    </row>
    <row r="23" spans="1:18" x14ac:dyDescent="0.2">
      <c r="A23" t="s">
        <v>12</v>
      </c>
      <c r="B23" s="14">
        <f>(B25-B21)*B27</f>
        <v>5.8792500000000011E-2</v>
      </c>
    </row>
    <row r="24" spans="1:18" x14ac:dyDescent="0.2">
      <c r="B24" s="13"/>
    </row>
    <row r="25" spans="1:18" x14ac:dyDescent="0.2">
      <c r="A25" t="s">
        <v>13</v>
      </c>
      <c r="B25" s="14">
        <v>7.0000000000000007E-2</v>
      </c>
    </row>
    <row r="26" spans="1:18" x14ac:dyDescent="0.2">
      <c r="B26" s="13"/>
    </row>
    <row r="27" spans="1:18" x14ac:dyDescent="0.2">
      <c r="A27" t="s">
        <v>14</v>
      </c>
      <c r="B27" s="15">
        <v>1.35</v>
      </c>
    </row>
    <row r="28" spans="1:18" x14ac:dyDescent="0.2">
      <c r="B28" s="13"/>
    </row>
    <row r="29" spans="1:18" x14ac:dyDescent="0.2">
      <c r="A29" s="17" t="s">
        <v>15</v>
      </c>
      <c r="B29" s="18">
        <f>B21+(B25-B21)*B27</f>
        <v>8.5242500000000013E-2</v>
      </c>
    </row>
    <row r="30" spans="1:18" x14ac:dyDescent="0.2"/>
    <row r="31" spans="1:18" x14ac:dyDescent="0.2">
      <c r="A31" s="2"/>
      <c r="B31" s="2"/>
      <c r="C31" s="30">
        <v>45240</v>
      </c>
      <c r="D31" s="31" t="s">
        <v>16</v>
      </c>
    </row>
    <row r="32" spans="1:18" x14ac:dyDescent="0.2">
      <c r="A32" s="6" t="s">
        <v>17</v>
      </c>
      <c r="B32" s="6" t="s">
        <v>18</v>
      </c>
      <c r="C32" s="8">
        <f>C33*C34</f>
        <v>131.72978432592001</v>
      </c>
      <c r="D32" s="8">
        <f>SUM(H17:R17)</f>
        <v>216.8361094491259</v>
      </c>
    </row>
    <row r="33" spans="1:4" x14ac:dyDescent="0.2">
      <c r="A33" s="6"/>
      <c r="B33" s="6" t="s">
        <v>7</v>
      </c>
      <c r="C33" s="8">
        <f>1.782936128+0.23313036</f>
        <v>2.0160664879999999</v>
      </c>
      <c r="D33" s="8">
        <f>C33</f>
        <v>2.0160664879999999</v>
      </c>
    </row>
    <row r="34" spans="1:4" x14ac:dyDescent="0.2">
      <c r="A34" s="6"/>
      <c r="B34" s="6" t="s">
        <v>19</v>
      </c>
      <c r="C34" s="8">
        <v>65.34</v>
      </c>
      <c r="D34" s="8">
        <f>D32/D33</f>
        <v>107.55404682324441</v>
      </c>
    </row>
    <row r="35" spans="1:4" x14ac:dyDescent="0.2">
      <c r="A35" s="6"/>
      <c r="B35" s="6" t="s">
        <v>20</v>
      </c>
      <c r="C35" s="6"/>
      <c r="D35" s="9">
        <f>IF(C34/D34-1&gt;0,0,C34/D34-1)*-1</f>
        <v>0.39249147819253571</v>
      </c>
    </row>
    <row r="36" spans="1:4" x14ac:dyDescent="0.2">
      <c r="A36" s="6"/>
      <c r="B36" s="6" t="s">
        <v>21</v>
      </c>
      <c r="C36" s="6"/>
      <c r="D36" s="9">
        <f>IF(C34/D34-1&lt;0,0,C34/D34-1)</f>
        <v>0</v>
      </c>
    </row>
    <row r="37" spans="1:4" x14ac:dyDescent="0.2">
      <c r="A37" s="24"/>
      <c r="B37" s="24"/>
      <c r="C37" s="24"/>
      <c r="D37" s="24"/>
    </row>
    <row r="38" spans="1:4" x14ac:dyDescent="0.2">
      <c r="A38" s="25" t="s">
        <v>23</v>
      </c>
      <c r="B38" s="10"/>
      <c r="C38" s="10"/>
      <c r="D38" s="11"/>
    </row>
    <row r="39" spans="1:4" x14ac:dyDescent="0.2">
      <c r="A39" s="12"/>
      <c r="D39" s="13"/>
    </row>
    <row r="40" spans="1:4" x14ac:dyDescent="0.2">
      <c r="A40" s="12" t="str">
        <f>"KGV in "&amp;Q9&amp;":"</f>
        <v>KGV in 2032:</v>
      </c>
      <c r="D40" s="15">
        <v>25</v>
      </c>
    </row>
    <row r="41" spans="1:4" x14ac:dyDescent="0.2">
      <c r="A41" s="12"/>
      <c r="D41" s="13"/>
    </row>
    <row r="42" spans="1:4" x14ac:dyDescent="0.2">
      <c r="A42" s="12" t="str">
        <f>"Aktienkurs in "&amp;Q9&amp;":"</f>
        <v>Aktienkurs in 2032:</v>
      </c>
      <c r="D42" s="15">
        <f>Q16*D40</f>
        <v>244.4232230588299</v>
      </c>
    </row>
    <row r="43" spans="1:4" x14ac:dyDescent="0.2">
      <c r="A43" s="12"/>
      <c r="D43" s="13"/>
    </row>
    <row r="44" spans="1:4" x14ac:dyDescent="0.2">
      <c r="A44" s="12" t="s">
        <v>25</v>
      </c>
      <c r="D44" s="14">
        <v>0.3</v>
      </c>
    </row>
    <row r="45" spans="1:4" x14ac:dyDescent="0.2">
      <c r="A45" s="12"/>
      <c r="D45" s="13"/>
    </row>
    <row r="46" spans="1:4" x14ac:dyDescent="0.2">
      <c r="A46" s="12" t="s">
        <v>26</v>
      </c>
      <c r="D46" s="15">
        <f>D44*SUM(H16:Q16)</f>
        <v>16.70243980908058</v>
      </c>
    </row>
    <row r="47" spans="1:4" x14ac:dyDescent="0.2">
      <c r="A47" s="12"/>
      <c r="D47" s="13"/>
    </row>
    <row r="48" spans="1:4" x14ac:dyDescent="0.2">
      <c r="A48" s="12" t="s">
        <v>27</v>
      </c>
      <c r="D48" s="14">
        <v>0.15</v>
      </c>
    </row>
    <row r="49" spans="1:4" x14ac:dyDescent="0.2">
      <c r="A49" s="12"/>
      <c r="D49" s="13"/>
    </row>
    <row r="50" spans="1:4" x14ac:dyDescent="0.2">
      <c r="A50" s="12" t="str">
        <f>"Gesamtwert "&amp;Q9</f>
        <v>Gesamtwert 2032</v>
      </c>
      <c r="D50" s="15">
        <f>D42+D46*(1-D48)</f>
        <v>258.62029689654838</v>
      </c>
    </row>
    <row r="51" spans="1:4" x14ac:dyDescent="0.2">
      <c r="A51" s="12"/>
      <c r="D51" s="13"/>
    </row>
    <row r="52" spans="1:4" x14ac:dyDescent="0.2">
      <c r="A52" s="12" t="str">
        <f>"Steigerung bis "&amp;Q9</f>
        <v>Steigerung bis 2032</v>
      </c>
      <c r="D52" s="14">
        <f>D50/C34-1</f>
        <v>2.9580700473913129</v>
      </c>
    </row>
    <row r="53" spans="1:4" x14ac:dyDescent="0.2">
      <c r="A53" s="12"/>
      <c r="D53" s="13"/>
    </row>
    <row r="54" spans="1:4" x14ac:dyDescent="0.2">
      <c r="A54" s="27" t="str">
        <f>"Renditeerwartung bis "&amp;Q9&amp;" pro Jahr"</f>
        <v>Renditeerwartung bis 2032 pro Jahr</v>
      </c>
      <c r="B54" s="28"/>
      <c r="C54" s="28"/>
      <c r="D54" s="29">
        <f>(D50/C34)^(1/10)-1</f>
        <v>0.14748851532340623</v>
      </c>
    </row>
    <row r="55" spans="1:4" x14ac:dyDescent="0.2"/>
    <row r="56" spans="1:4" x14ac:dyDescent="0.2"/>
    <row r="57" spans="1:4" x14ac:dyDescent="0.2"/>
    <row r="58" spans="1:4" x14ac:dyDescent="0.2"/>
    <row r="59" spans="1:4" x14ac:dyDescent="0.2"/>
    <row r="60" spans="1:4" x14ac:dyDescent="0.2"/>
    <row r="61" spans="1:4" x14ac:dyDescent="0.2"/>
    <row r="62" spans="1:4" x14ac:dyDescent="0.2"/>
    <row r="63" spans="1:4" x14ac:dyDescent="0.2"/>
    <row r="64" spans="1:4" x14ac:dyDescent="0.2"/>
    <row r="65" x14ac:dyDescent="0.2"/>
  </sheetData>
  <pageMargins left="0.7" right="0.7" top="0.78740157499999996" bottom="0.78740157499999996" header="0.3" footer="0.3"/>
  <pageSetup paperSize="9" orientation="portrait" horizontalDpi="0" verticalDpi="0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233D2-1A79-F24B-87BC-A444AEB36AB7}">
  <dimension ref="A1:R65"/>
  <sheetViews>
    <sheetView showGridLines="0" showRowColHeaders="0" workbookViewId="0"/>
  </sheetViews>
  <sheetFormatPr baseColWidth="10" defaultColWidth="0" defaultRowHeight="16" zeroHeight="1" x14ac:dyDescent="0.2"/>
  <cols>
    <col min="1" max="1" width="22.5" customWidth="1"/>
    <col min="2" max="2" width="35" customWidth="1"/>
    <col min="3" max="18" width="13.33203125" customWidth="1"/>
    <col min="19" max="19" width="10.83203125" customWidth="1"/>
    <col min="20" max="16384" width="10.83203125" hidden="1"/>
  </cols>
  <sheetData>
    <row r="1" spans="1:18" x14ac:dyDescent="0.2"/>
    <row r="2" spans="1:18" ht="26" x14ac:dyDescent="0.3">
      <c r="B2" s="20" t="s">
        <v>0</v>
      </c>
    </row>
    <row r="3" spans="1:18" x14ac:dyDescent="0.2"/>
    <row r="4" spans="1:18" x14ac:dyDescent="0.2">
      <c r="B4" t="str">
        <f>Optimistisch!B4</f>
        <v>Annahmen für Nibe Industrier</v>
      </c>
    </row>
    <row r="5" spans="1:18" x14ac:dyDescent="0.2"/>
    <row r="6" spans="1:18" x14ac:dyDescent="0.2">
      <c r="B6" t="str">
        <f>Optimistisch!B6</f>
        <v>Alle Angaben in Mrd.</v>
      </c>
    </row>
    <row r="7" spans="1:18" x14ac:dyDescent="0.2"/>
    <row r="8" spans="1:18" x14ac:dyDescent="0.2">
      <c r="A8" s="2"/>
      <c r="B8" s="2"/>
      <c r="C8" s="2"/>
      <c r="D8" s="2"/>
      <c r="E8" s="2"/>
      <c r="F8" s="2"/>
      <c r="G8" s="2"/>
      <c r="H8" s="3" t="s">
        <v>9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">
      <c r="C9">
        <f>Optimistisch!C9</f>
        <v>2018</v>
      </c>
      <c r="D9">
        <f>C9+1</f>
        <v>2019</v>
      </c>
      <c r="E9">
        <f t="shared" ref="E9:Q9" si="0">D9+1</f>
        <v>2020</v>
      </c>
      <c r="F9">
        <f t="shared" si="0"/>
        <v>2021</v>
      </c>
      <c r="G9">
        <f t="shared" si="0"/>
        <v>2022</v>
      </c>
      <c r="H9" s="6">
        <f t="shared" si="0"/>
        <v>2023</v>
      </c>
      <c r="I9" s="6">
        <f t="shared" si="0"/>
        <v>2024</v>
      </c>
      <c r="J9" s="6">
        <f t="shared" si="0"/>
        <v>2025</v>
      </c>
      <c r="K9" s="6">
        <f t="shared" si="0"/>
        <v>2026</v>
      </c>
      <c r="L9" s="6">
        <f t="shared" si="0"/>
        <v>2027</v>
      </c>
      <c r="M9" s="6">
        <f t="shared" si="0"/>
        <v>2028</v>
      </c>
      <c r="N9" s="6">
        <f t="shared" si="0"/>
        <v>2029</v>
      </c>
      <c r="O9" s="6">
        <f t="shared" si="0"/>
        <v>2030</v>
      </c>
      <c r="P9" s="6">
        <f t="shared" si="0"/>
        <v>2031</v>
      </c>
      <c r="Q9" s="6">
        <f t="shared" si="0"/>
        <v>2032</v>
      </c>
      <c r="R9" s="7" t="str">
        <f>Q9+1&amp;"ff."</f>
        <v>2033ff.</v>
      </c>
    </row>
    <row r="10" spans="1:18" x14ac:dyDescent="0.2">
      <c r="B10" t="s">
        <v>2</v>
      </c>
      <c r="C10" s="4">
        <f>Optimistisch!C10</f>
        <v>22.515999999999998</v>
      </c>
      <c r="D10" s="4">
        <f>Optimistisch!D10</f>
        <v>25.341999999999999</v>
      </c>
      <c r="E10" s="4">
        <f>Optimistisch!E10</f>
        <v>27.146000000000001</v>
      </c>
      <c r="F10" s="4">
        <f>Optimistisch!F10</f>
        <v>30.832000000000001</v>
      </c>
      <c r="G10" s="4">
        <f>Optimistisch!G10</f>
        <v>40.070999999999998</v>
      </c>
      <c r="H10" s="8">
        <f>Optimistisch!H10</f>
        <v>48.542070000000002</v>
      </c>
      <c r="I10" s="8">
        <f>Optimistisch!I10</f>
        <v>53.16433</v>
      </c>
      <c r="J10" s="8">
        <f>Optimistisch!J10</f>
        <v>59.281120000000001</v>
      </c>
      <c r="K10" s="8">
        <f>J10*(1+K11)</f>
        <v>65.209232</v>
      </c>
      <c r="L10" s="8">
        <f t="shared" ref="L10:R10" si="1">K10*(1+L11)</f>
        <v>70.42597056000001</v>
      </c>
      <c r="M10" s="8">
        <f t="shared" si="1"/>
        <v>76.060048204800012</v>
      </c>
      <c r="N10" s="8">
        <f t="shared" si="1"/>
        <v>81.38425157913602</v>
      </c>
      <c r="O10" s="8">
        <f t="shared" si="1"/>
        <v>86.674227931779853</v>
      </c>
      <c r="P10" s="8">
        <f t="shared" si="1"/>
        <v>91.874681607686654</v>
      </c>
      <c r="Q10" s="8">
        <f t="shared" si="1"/>
        <v>96.468415688070991</v>
      </c>
      <c r="R10" s="8">
        <f t="shared" si="1"/>
        <v>97.915441923392052</v>
      </c>
    </row>
    <row r="11" spans="1:18" x14ac:dyDescent="0.2">
      <c r="B11" t="s">
        <v>3</v>
      </c>
      <c r="C11" s="1" t="s">
        <v>10</v>
      </c>
      <c r="D11" s="5">
        <f>D10/C10-1</f>
        <v>0.12551074791259542</v>
      </c>
      <c r="E11" s="5">
        <f t="shared" ref="E11:J11" si="2">E10/D10-1</f>
        <v>7.1186173151290388E-2</v>
      </c>
      <c r="F11" s="5">
        <f t="shared" si="2"/>
        <v>0.13578427760996092</v>
      </c>
      <c r="G11" s="5">
        <f>G10/F10-1</f>
        <v>0.29965620134924742</v>
      </c>
      <c r="H11" s="9">
        <f t="shared" si="2"/>
        <v>0.21140151231563986</v>
      </c>
      <c r="I11" s="9">
        <f t="shared" si="2"/>
        <v>9.5221732406549631E-2</v>
      </c>
      <c r="J11" s="9">
        <f t="shared" si="2"/>
        <v>0.1150543983155623</v>
      </c>
      <c r="K11" s="9">
        <v>0.1</v>
      </c>
      <c r="L11" s="9">
        <v>0.08</v>
      </c>
      <c r="M11" s="9">
        <v>0.08</v>
      </c>
      <c r="N11" s="9">
        <v>7.0000000000000007E-2</v>
      </c>
      <c r="O11" s="9">
        <v>6.5000000000000002E-2</v>
      </c>
      <c r="P11" s="9">
        <v>0.06</v>
      </c>
      <c r="Q11" s="9">
        <v>0.05</v>
      </c>
      <c r="R11" s="9">
        <v>1.4999999999999999E-2</v>
      </c>
    </row>
    <row r="12" spans="1:18" x14ac:dyDescent="0.2">
      <c r="B12" t="s">
        <v>4</v>
      </c>
      <c r="C12" s="5">
        <f>C13/C10</f>
        <v>0.12564398649848998</v>
      </c>
      <c r="D12" s="5">
        <f t="shared" ref="D12:J12" si="3">D13/D10</f>
        <v>0.11988004103859205</v>
      </c>
      <c r="E12" s="5">
        <f t="shared" si="3"/>
        <v>0.14293081853680101</v>
      </c>
      <c r="F12" s="5">
        <f t="shared" si="3"/>
        <v>0.14491437467566165</v>
      </c>
      <c r="G12" s="5">
        <f t="shared" si="3"/>
        <v>0.14631529035961172</v>
      </c>
      <c r="H12" s="9">
        <f t="shared" si="3"/>
        <v>0.1542</v>
      </c>
      <c r="I12" s="9">
        <f t="shared" si="3"/>
        <v>0.15260000000000001</v>
      </c>
      <c r="J12" s="9">
        <f t="shared" si="3"/>
        <v>0.15359999999999999</v>
      </c>
      <c r="K12" s="9">
        <v>0.1525</v>
      </c>
      <c r="L12" s="9">
        <v>0.15</v>
      </c>
      <c r="M12" s="9">
        <v>7.0000000000000007E-2</v>
      </c>
      <c r="N12" s="9">
        <v>0.14499999999999999</v>
      </c>
      <c r="O12" s="9">
        <v>0.14249999999999999</v>
      </c>
      <c r="P12" s="9">
        <v>0.14000000000000001</v>
      </c>
      <c r="Q12" s="9">
        <v>0.14000000000000001</v>
      </c>
      <c r="R12" s="9">
        <v>0.13500000000000001</v>
      </c>
    </row>
    <row r="13" spans="1:18" x14ac:dyDescent="0.2">
      <c r="B13" t="s">
        <v>5</v>
      </c>
      <c r="C13" s="4">
        <f>Optimistisch!C13</f>
        <v>2.8290000000000002</v>
      </c>
      <c r="D13" s="4">
        <f>Optimistisch!D13</f>
        <v>3.0379999999999998</v>
      </c>
      <c r="E13" s="4">
        <f>Optimistisch!E13</f>
        <v>3.88</v>
      </c>
      <c r="F13" s="4">
        <f>Optimistisch!F13</f>
        <v>4.468</v>
      </c>
      <c r="G13" s="4">
        <f>Optimistisch!G13</f>
        <v>5.8630000000000004</v>
      </c>
      <c r="H13" s="8">
        <f>Optimistisch!H13</f>
        <v>7.4851871940000008</v>
      </c>
      <c r="I13" s="8">
        <f>Optimistisch!I13</f>
        <v>8.1128767580000005</v>
      </c>
      <c r="J13" s="8">
        <f>Optimistisch!J13</f>
        <v>9.1055800319999989</v>
      </c>
      <c r="K13" s="8">
        <f>K10*K12</f>
        <v>9.94440788</v>
      </c>
      <c r="L13" s="8">
        <f t="shared" ref="L13:R13" si="4">L10*L12</f>
        <v>10.563895584000001</v>
      </c>
      <c r="M13" s="8">
        <f t="shared" si="4"/>
        <v>5.3242033743360011</v>
      </c>
      <c r="N13" s="8">
        <f t="shared" si="4"/>
        <v>11.800716478974723</v>
      </c>
      <c r="O13" s="8">
        <f t="shared" si="4"/>
        <v>12.351077480278628</v>
      </c>
      <c r="P13" s="8">
        <f t="shared" si="4"/>
        <v>12.862455425076133</v>
      </c>
      <c r="Q13" s="8">
        <f t="shared" si="4"/>
        <v>13.505578196329941</v>
      </c>
      <c r="R13" s="8">
        <f t="shared" si="4"/>
        <v>13.218584659657928</v>
      </c>
    </row>
    <row r="14" spans="1:18" x14ac:dyDescent="0.2">
      <c r="A14" s="9">
        <v>0.3</v>
      </c>
      <c r="B14" t="s">
        <v>6</v>
      </c>
      <c r="C14" s="4">
        <f>Optimistisch!C14</f>
        <v>2.0739999999999998</v>
      </c>
      <c r="D14" s="4">
        <f>Optimistisch!D14</f>
        <v>2.1700000000000004</v>
      </c>
      <c r="E14" s="4">
        <f>Optimistisch!E14</f>
        <v>2.8660000000000001</v>
      </c>
      <c r="F14" s="4">
        <f>Optimistisch!F14</f>
        <v>3.3200000000000003</v>
      </c>
      <c r="G14" s="4">
        <f>Optimistisch!G14</f>
        <v>4.351</v>
      </c>
      <c r="H14" s="8">
        <f>Optimistisch!H14</f>
        <v>5.383315563</v>
      </c>
      <c r="I14" s="8">
        <f>Optimistisch!I14</f>
        <v>5.9171899290000001</v>
      </c>
      <c r="J14" s="8">
        <f>Optimistisch!J14</f>
        <v>6.6335573280000002</v>
      </c>
      <c r="K14" s="8">
        <f>K13*(1-$A$14)</f>
        <v>6.9610855159999998</v>
      </c>
      <c r="L14" s="8">
        <f t="shared" ref="L14:R14" si="5">L13*(1-$A$14)</f>
        <v>7.3947269088000001</v>
      </c>
      <c r="M14" s="8">
        <f t="shared" si="5"/>
        <v>3.7269423620352007</v>
      </c>
      <c r="N14" s="8">
        <f t="shared" si="5"/>
        <v>8.2605015352823052</v>
      </c>
      <c r="O14" s="8">
        <f t="shared" si="5"/>
        <v>8.6457542361950388</v>
      </c>
      <c r="P14" s="8">
        <f t="shared" si="5"/>
        <v>9.003718797553292</v>
      </c>
      <c r="Q14" s="8">
        <f t="shared" si="5"/>
        <v>9.4539047374309586</v>
      </c>
      <c r="R14" s="8">
        <f t="shared" si="5"/>
        <v>9.2530092617605497</v>
      </c>
    </row>
    <row r="15" spans="1:18" x14ac:dyDescent="0.2">
      <c r="A15" s="9">
        <v>1.0049999999999999</v>
      </c>
      <c r="B15" t="s">
        <v>28</v>
      </c>
      <c r="H15" s="8">
        <f>C33</f>
        <v>2.0160664879999999</v>
      </c>
      <c r="I15" s="8">
        <f>H15*$A$15</f>
        <v>2.0261468204399997</v>
      </c>
      <c r="J15" s="8">
        <f t="shared" ref="J15:Q15" si="6">I15*$A$15</f>
        <v>2.0362775545421994</v>
      </c>
      <c r="K15" s="8">
        <f t="shared" si="6"/>
        <v>2.04645894231491</v>
      </c>
      <c r="L15" s="8">
        <f t="shared" si="6"/>
        <v>2.0566912370264845</v>
      </c>
      <c r="M15" s="8">
        <f t="shared" si="6"/>
        <v>2.0669746932116166</v>
      </c>
      <c r="N15" s="8">
        <f t="shared" si="6"/>
        <v>2.0773095666776746</v>
      </c>
      <c r="O15" s="8">
        <f t="shared" si="6"/>
        <v>2.0876961145110626</v>
      </c>
      <c r="P15" s="8">
        <f t="shared" si="6"/>
        <v>2.0981345950836179</v>
      </c>
      <c r="Q15" s="8">
        <f t="shared" si="6"/>
        <v>2.1086252680590358</v>
      </c>
      <c r="R15" s="7" t="s">
        <v>10</v>
      </c>
    </row>
    <row r="16" spans="1:18" x14ac:dyDescent="0.2">
      <c r="B16" t="s">
        <v>8</v>
      </c>
      <c r="H16" s="8">
        <f>H14/H15</f>
        <v>2.670207354292375</v>
      </c>
      <c r="I16" s="8">
        <f t="shared" ref="I16:P16" si="7">I14/I15</f>
        <v>2.9204151788541259</v>
      </c>
      <c r="J16" s="8">
        <f t="shared" si="7"/>
        <v>3.2576881836186482</v>
      </c>
      <c r="K16" s="8">
        <f t="shared" si="7"/>
        <v>3.4015270827401847</v>
      </c>
      <c r="L16" s="8">
        <f t="shared" si="7"/>
        <v>3.5954482499235625</v>
      </c>
      <c r="M16" s="8">
        <f t="shared" si="7"/>
        <v>1.8030904656333093</v>
      </c>
      <c r="N16" s="8">
        <f t="shared" si="7"/>
        <v>3.9765385322389188</v>
      </c>
      <c r="O16" s="8">
        <f t="shared" si="7"/>
        <v>4.1412896139914839</v>
      </c>
      <c r="P16" s="8">
        <f t="shared" si="7"/>
        <v>4.2912970496034655</v>
      </c>
      <c r="Q16" s="8">
        <f>Q14/Q15</f>
        <v>4.4834446786901898</v>
      </c>
      <c r="R16" s="7" t="s">
        <v>10</v>
      </c>
    </row>
    <row r="17" spans="1:18" x14ac:dyDescent="0.2">
      <c r="F17" s="21" t="s">
        <v>22</v>
      </c>
      <c r="G17" s="22"/>
      <c r="H17" s="23">
        <f>H14/(1+$B$29)</f>
        <v>4.9604724870247887</v>
      </c>
      <c r="I17" s="23">
        <f>I14/(1+$B$29)^2</f>
        <v>5.0241422024834117</v>
      </c>
      <c r="J17" s="23">
        <f>J14/(1+$B$29)^3</f>
        <v>5.1899850548127091</v>
      </c>
      <c r="K17" s="23">
        <f>K14/(1+$B$29)^4</f>
        <v>5.0184522520163624</v>
      </c>
      <c r="L17" s="23">
        <f>L14/(1+$B$29)^5</f>
        <v>4.912337239284553</v>
      </c>
      <c r="M17" s="23">
        <f>M14/(1+$B$29)^6</f>
        <v>2.2813499919137108</v>
      </c>
      <c r="N17" s="23">
        <f>N14/(1+$B$29)^7</f>
        <v>4.6592805787700797</v>
      </c>
      <c r="O17" s="23">
        <f>O14/(1+$B$29)^8</f>
        <v>4.493539264333144</v>
      </c>
      <c r="P17" s="23">
        <f>P14/(1+$B$29)^9</f>
        <v>4.3120201767632329</v>
      </c>
      <c r="Q17" s="23">
        <f>Q14/(1+$B$29)^10</f>
        <v>4.1719903022609186</v>
      </c>
      <c r="R17" s="26">
        <f>(R14/(B29-R11))/(1+B29)^10</f>
        <v>58.131978621744288</v>
      </c>
    </row>
    <row r="18" spans="1:18" x14ac:dyDescent="0.2"/>
    <row r="19" spans="1:18" x14ac:dyDescent="0.2">
      <c r="A19" s="19" t="s">
        <v>24</v>
      </c>
      <c r="B19" s="11"/>
    </row>
    <row r="20" spans="1:18" x14ac:dyDescent="0.2">
      <c r="B20" s="13"/>
    </row>
    <row r="21" spans="1:18" x14ac:dyDescent="0.2">
      <c r="A21" t="s">
        <v>11</v>
      </c>
      <c r="B21" s="14">
        <f>Optimistisch!B21</f>
        <v>2.6450000000000001E-2</v>
      </c>
    </row>
    <row r="22" spans="1:18" x14ac:dyDescent="0.2">
      <c r="B22" s="13"/>
    </row>
    <row r="23" spans="1:18" x14ac:dyDescent="0.2">
      <c r="A23" t="s">
        <v>12</v>
      </c>
      <c r="B23" s="14">
        <f>(B25-B21)*B27</f>
        <v>5.8792500000000011E-2</v>
      </c>
    </row>
    <row r="24" spans="1:18" x14ac:dyDescent="0.2">
      <c r="B24" s="13"/>
    </row>
    <row r="25" spans="1:18" x14ac:dyDescent="0.2">
      <c r="A25" t="s">
        <v>13</v>
      </c>
      <c r="B25" s="14">
        <f>Optimistisch!B25</f>
        <v>7.0000000000000007E-2</v>
      </c>
    </row>
    <row r="26" spans="1:18" x14ac:dyDescent="0.2">
      <c r="B26" s="13"/>
    </row>
    <row r="27" spans="1:18" x14ac:dyDescent="0.2">
      <c r="A27" t="s">
        <v>14</v>
      </c>
      <c r="B27" s="15">
        <f>Optimistisch!B27</f>
        <v>1.35</v>
      </c>
    </row>
    <row r="28" spans="1:18" x14ac:dyDescent="0.2">
      <c r="B28" s="13"/>
    </row>
    <row r="29" spans="1:18" x14ac:dyDescent="0.2">
      <c r="A29" s="17" t="s">
        <v>15</v>
      </c>
      <c r="B29" s="18">
        <f>B21+(B25-B21)*B27</f>
        <v>8.5242500000000013E-2</v>
      </c>
    </row>
    <row r="30" spans="1:18" x14ac:dyDescent="0.2"/>
    <row r="31" spans="1:18" x14ac:dyDescent="0.2">
      <c r="A31" s="2"/>
      <c r="B31" s="2"/>
      <c r="C31" s="30">
        <f>Optimistisch!C31</f>
        <v>45240</v>
      </c>
      <c r="D31" s="31" t="s">
        <v>16</v>
      </c>
    </row>
    <row r="32" spans="1:18" x14ac:dyDescent="0.2">
      <c r="A32" s="6" t="s">
        <v>17</v>
      </c>
      <c r="B32" s="6" t="s">
        <v>18</v>
      </c>
      <c r="C32" s="8">
        <f>C33*C34</f>
        <v>131.72978432592001</v>
      </c>
      <c r="D32" s="8">
        <f>SUM(H17:R17)</f>
        <v>103.15554817140719</v>
      </c>
    </row>
    <row r="33" spans="1:4" x14ac:dyDescent="0.2">
      <c r="A33" s="6"/>
      <c r="B33" s="6" t="s">
        <v>7</v>
      </c>
      <c r="C33" s="8">
        <f>Optimistisch!C33</f>
        <v>2.0160664879999999</v>
      </c>
      <c r="D33" s="8">
        <f>C33</f>
        <v>2.0160664879999999</v>
      </c>
    </row>
    <row r="34" spans="1:4" x14ac:dyDescent="0.2">
      <c r="A34" s="6"/>
      <c r="B34" s="6" t="s">
        <v>19</v>
      </c>
      <c r="C34" s="8">
        <f>Optimistisch!C34</f>
        <v>65.34</v>
      </c>
      <c r="D34" s="8">
        <f>D32/D33</f>
        <v>51.166739185144969</v>
      </c>
    </row>
    <row r="35" spans="1:4" x14ac:dyDescent="0.2">
      <c r="A35" s="6"/>
      <c r="B35" s="6" t="s">
        <v>20</v>
      </c>
      <c r="C35" s="6"/>
      <c r="D35" s="9">
        <f>IF(C34/D34-1&gt;0,0,C34/D34-1)*-1</f>
        <v>0</v>
      </c>
    </row>
    <row r="36" spans="1:4" x14ac:dyDescent="0.2">
      <c r="A36" s="6"/>
      <c r="B36" s="6" t="s">
        <v>21</v>
      </c>
      <c r="C36" s="6"/>
      <c r="D36" s="9">
        <f>IF(C34/D34-1&lt;0,0,C34/D34-1)</f>
        <v>0.27700144743579624</v>
      </c>
    </row>
    <row r="37" spans="1:4" x14ac:dyDescent="0.2">
      <c r="A37" s="24"/>
      <c r="B37" s="24"/>
      <c r="C37" s="24"/>
      <c r="D37" s="24"/>
    </row>
    <row r="38" spans="1:4" x14ac:dyDescent="0.2">
      <c r="A38" s="25" t="s">
        <v>23</v>
      </c>
      <c r="B38" s="10"/>
      <c r="C38" s="10"/>
      <c r="D38" s="11"/>
    </row>
    <row r="39" spans="1:4" x14ac:dyDescent="0.2">
      <c r="A39" s="12"/>
      <c r="D39" s="13"/>
    </row>
    <row r="40" spans="1:4" x14ac:dyDescent="0.2">
      <c r="A40" s="12" t="str">
        <f>"KGV in "&amp;Q9&amp;":"</f>
        <v>KGV in 2032:</v>
      </c>
      <c r="D40" s="15">
        <v>18</v>
      </c>
    </row>
    <row r="41" spans="1:4" x14ac:dyDescent="0.2">
      <c r="A41" s="12"/>
      <c r="D41" s="13"/>
    </row>
    <row r="42" spans="1:4" x14ac:dyDescent="0.2">
      <c r="A42" s="12" t="str">
        <f>"Aktienkurs in "&amp;Q9&amp;":"</f>
        <v>Aktienkurs in 2032:</v>
      </c>
      <c r="D42" s="15">
        <f>Q16*D40</f>
        <v>80.702004216423418</v>
      </c>
    </row>
    <row r="43" spans="1:4" x14ac:dyDescent="0.2">
      <c r="A43" s="12"/>
      <c r="D43" s="13"/>
    </row>
    <row r="44" spans="1:4" x14ac:dyDescent="0.2">
      <c r="A44" s="12" t="s">
        <v>25</v>
      </c>
      <c r="D44" s="14">
        <v>0.25</v>
      </c>
    </row>
    <row r="45" spans="1:4" x14ac:dyDescent="0.2">
      <c r="A45" s="12"/>
      <c r="D45" s="13"/>
    </row>
    <row r="46" spans="1:4" x14ac:dyDescent="0.2">
      <c r="A46" s="12" t="s">
        <v>26</v>
      </c>
      <c r="D46" s="15">
        <f>D44*SUM(H16:Q16)</f>
        <v>8.635236597396565</v>
      </c>
    </row>
    <row r="47" spans="1:4" x14ac:dyDescent="0.2">
      <c r="A47" s="12"/>
      <c r="D47" s="13"/>
    </row>
    <row r="48" spans="1:4" x14ac:dyDescent="0.2">
      <c r="A48" s="12" t="s">
        <v>27</v>
      </c>
      <c r="D48" s="14">
        <f>Optimistisch!D48</f>
        <v>0.15</v>
      </c>
    </row>
    <row r="49" spans="1:4" x14ac:dyDescent="0.2">
      <c r="A49" s="12"/>
      <c r="D49" s="13"/>
    </row>
    <row r="50" spans="1:4" x14ac:dyDescent="0.2">
      <c r="A50" s="12" t="str">
        <f>"Gesamtwert "&amp;Q9</f>
        <v>Gesamtwert 2032</v>
      </c>
      <c r="D50" s="15">
        <f>D42+D46*(1-D48)</f>
        <v>88.041955324210505</v>
      </c>
    </row>
    <row r="51" spans="1:4" x14ac:dyDescent="0.2">
      <c r="A51" s="12"/>
      <c r="D51" s="13"/>
    </row>
    <row r="52" spans="1:4" x14ac:dyDescent="0.2">
      <c r="A52" s="12" t="str">
        <f>"Steigerung bis "&amp;Q9</f>
        <v>Steigerung bis 2032</v>
      </c>
      <c r="D52" s="14">
        <f>D50/C34-1</f>
        <v>0.34744345460989434</v>
      </c>
    </row>
    <row r="53" spans="1:4" x14ac:dyDescent="0.2">
      <c r="A53" s="12"/>
      <c r="D53" s="13"/>
    </row>
    <row r="54" spans="1:4" x14ac:dyDescent="0.2">
      <c r="A54" s="27" t="str">
        <f>"Renditeerwartung bis "&amp;Q9&amp;" pro Jahr"</f>
        <v>Renditeerwartung bis 2032 pro Jahr</v>
      </c>
      <c r="B54" s="28"/>
      <c r="C54" s="28"/>
      <c r="D54" s="29">
        <f>(D50/C34)^(1/10)-1</f>
        <v>3.0270002226848058E-2</v>
      </c>
    </row>
    <row r="55" spans="1:4" x14ac:dyDescent="0.2"/>
    <row r="56" spans="1:4" x14ac:dyDescent="0.2"/>
    <row r="57" spans="1:4" x14ac:dyDescent="0.2"/>
    <row r="58" spans="1:4" x14ac:dyDescent="0.2"/>
    <row r="59" spans="1:4" x14ac:dyDescent="0.2"/>
    <row r="60" spans="1:4" x14ac:dyDescent="0.2"/>
    <row r="61" spans="1:4" x14ac:dyDescent="0.2"/>
    <row r="62" spans="1:4" x14ac:dyDescent="0.2"/>
    <row r="63" spans="1:4" x14ac:dyDescent="0.2"/>
    <row r="64" spans="1:4" x14ac:dyDescent="0.2"/>
    <row r="65" x14ac:dyDescent="0.2"/>
  </sheetData>
  <pageMargins left="0.7" right="0.7" top="0.78740157499999996" bottom="0.78740157499999996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D1D1A-4C90-5D4F-B2EA-4FAC9D5FC900}">
  <dimension ref="A1:R65"/>
  <sheetViews>
    <sheetView showGridLines="0" showRowColHeaders="0" workbookViewId="0"/>
  </sheetViews>
  <sheetFormatPr baseColWidth="10" defaultColWidth="0" defaultRowHeight="16" zeroHeight="1" x14ac:dyDescent="0.2"/>
  <cols>
    <col min="1" max="1" width="22.5" customWidth="1"/>
    <col min="2" max="2" width="35" customWidth="1"/>
    <col min="3" max="18" width="13.33203125" customWidth="1"/>
    <col min="19" max="19" width="10.83203125" customWidth="1"/>
    <col min="20" max="16384" width="10.83203125" hidden="1"/>
  </cols>
  <sheetData>
    <row r="1" spans="1:18" x14ac:dyDescent="0.2"/>
    <row r="2" spans="1:18" ht="26" x14ac:dyDescent="0.3">
      <c r="B2" s="20" t="s">
        <v>0</v>
      </c>
    </row>
    <row r="3" spans="1:18" x14ac:dyDescent="0.2"/>
    <row r="4" spans="1:18" x14ac:dyDescent="0.2">
      <c r="B4" t="str">
        <f>Optimistisch!B4</f>
        <v>Annahmen für Nibe Industrier</v>
      </c>
    </row>
    <row r="5" spans="1:18" x14ac:dyDescent="0.2"/>
    <row r="6" spans="1:18" x14ac:dyDescent="0.2">
      <c r="B6" t="str">
        <f>Optimistisch!B6</f>
        <v>Alle Angaben in Mrd.</v>
      </c>
    </row>
    <row r="7" spans="1:18" x14ac:dyDescent="0.2"/>
    <row r="8" spans="1:18" x14ac:dyDescent="0.2">
      <c r="A8" s="2"/>
      <c r="B8" s="2"/>
      <c r="C8" s="2"/>
      <c r="D8" s="2"/>
      <c r="E8" s="2"/>
      <c r="F8" s="2"/>
      <c r="G8" s="2"/>
      <c r="H8" s="3" t="s">
        <v>9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">
      <c r="C9">
        <f>Optimistisch!C9</f>
        <v>2018</v>
      </c>
      <c r="D9">
        <f>C9+1</f>
        <v>2019</v>
      </c>
      <c r="E9">
        <f t="shared" ref="E9:Q9" si="0">D9+1</f>
        <v>2020</v>
      </c>
      <c r="F9">
        <f t="shared" si="0"/>
        <v>2021</v>
      </c>
      <c r="G9">
        <f t="shared" si="0"/>
        <v>2022</v>
      </c>
      <c r="H9" s="6">
        <f t="shared" si="0"/>
        <v>2023</v>
      </c>
      <c r="I9" s="6">
        <f t="shared" si="0"/>
        <v>2024</v>
      </c>
      <c r="J9" s="6">
        <f t="shared" si="0"/>
        <v>2025</v>
      </c>
      <c r="K9" s="6">
        <f t="shared" si="0"/>
        <v>2026</v>
      </c>
      <c r="L9" s="6">
        <f t="shared" si="0"/>
        <v>2027</v>
      </c>
      <c r="M9" s="6">
        <f t="shared" si="0"/>
        <v>2028</v>
      </c>
      <c r="N9" s="6">
        <f t="shared" si="0"/>
        <v>2029</v>
      </c>
      <c r="O9" s="6">
        <f t="shared" si="0"/>
        <v>2030</v>
      </c>
      <c r="P9" s="6">
        <f t="shared" si="0"/>
        <v>2031</v>
      </c>
      <c r="Q9" s="6">
        <f t="shared" si="0"/>
        <v>2032</v>
      </c>
      <c r="R9" s="7" t="str">
        <f>Q9+1&amp;"ff."</f>
        <v>2033ff.</v>
      </c>
    </row>
    <row r="10" spans="1:18" x14ac:dyDescent="0.2">
      <c r="B10" t="s">
        <v>2</v>
      </c>
      <c r="C10" s="4">
        <f>Optimistisch!C10</f>
        <v>22.515999999999998</v>
      </c>
      <c r="D10" s="4">
        <f>Optimistisch!D10</f>
        <v>25.341999999999999</v>
      </c>
      <c r="E10" s="4">
        <f>Optimistisch!E10</f>
        <v>27.146000000000001</v>
      </c>
      <c r="F10" s="4">
        <f>Optimistisch!F10</f>
        <v>30.832000000000001</v>
      </c>
      <c r="G10" s="4">
        <f>Optimistisch!G10</f>
        <v>40.070999999999998</v>
      </c>
      <c r="H10" s="8">
        <f t="shared" ref="H10:J10" si="1">G10*(1+H11)</f>
        <v>43.477034999999994</v>
      </c>
      <c r="I10" s="8">
        <f t="shared" si="1"/>
        <v>47.17258297499999</v>
      </c>
      <c r="J10" s="8">
        <f t="shared" si="1"/>
        <v>51.182252527874986</v>
      </c>
      <c r="K10" s="8">
        <f>J10*(1+K11)</f>
        <v>55.532743992744358</v>
      </c>
      <c r="L10" s="8">
        <f t="shared" ref="L10:R10" si="2">K10*(1+L11)</f>
        <v>60.253027232127629</v>
      </c>
      <c r="M10" s="8">
        <f t="shared" si="2"/>
        <v>65.37453454685847</v>
      </c>
      <c r="N10" s="8">
        <f t="shared" si="2"/>
        <v>70.93136998334144</v>
      </c>
      <c r="O10" s="8">
        <f t="shared" si="2"/>
        <v>76.960536431925462</v>
      </c>
      <c r="P10" s="8">
        <f t="shared" si="2"/>
        <v>83.502182028639126</v>
      </c>
      <c r="Q10" s="8">
        <f t="shared" si="2"/>
        <v>90.599867501073447</v>
      </c>
      <c r="R10" s="8">
        <f t="shared" si="2"/>
        <v>92.864864188600279</v>
      </c>
    </row>
    <row r="11" spans="1:18" x14ac:dyDescent="0.2">
      <c r="B11" t="s">
        <v>3</v>
      </c>
      <c r="C11" s="1" t="s">
        <v>10</v>
      </c>
      <c r="D11" s="5">
        <f>D10/C10-1</f>
        <v>0.12551074791259542</v>
      </c>
      <c r="E11" s="5">
        <f t="shared" ref="E11:F11" si="3">E10/D10-1</f>
        <v>7.1186173151290388E-2</v>
      </c>
      <c r="F11" s="5">
        <f t="shared" si="3"/>
        <v>0.13578427760996092</v>
      </c>
      <c r="G11" s="5">
        <f>G10/F10-1</f>
        <v>0.29965620134924742</v>
      </c>
      <c r="H11" s="9">
        <v>8.5000000000000006E-2</v>
      </c>
      <c r="I11" s="9">
        <f>$H$11</f>
        <v>8.5000000000000006E-2</v>
      </c>
      <c r="J11" s="9">
        <f t="shared" ref="J11:Q11" si="4">$H$11</f>
        <v>8.5000000000000006E-2</v>
      </c>
      <c r="K11" s="9">
        <f t="shared" si="4"/>
        <v>8.5000000000000006E-2</v>
      </c>
      <c r="L11" s="9">
        <f t="shared" si="4"/>
        <v>8.5000000000000006E-2</v>
      </c>
      <c r="M11" s="9">
        <f t="shared" si="4"/>
        <v>8.5000000000000006E-2</v>
      </c>
      <c r="N11" s="9">
        <f t="shared" si="4"/>
        <v>8.5000000000000006E-2</v>
      </c>
      <c r="O11" s="9">
        <f t="shared" si="4"/>
        <v>8.5000000000000006E-2</v>
      </c>
      <c r="P11" s="9">
        <f t="shared" si="4"/>
        <v>8.5000000000000006E-2</v>
      </c>
      <c r="Q11" s="9">
        <f t="shared" si="4"/>
        <v>8.5000000000000006E-2</v>
      </c>
      <c r="R11" s="9">
        <f>Optimistisch!R11</f>
        <v>2.5000000000000001E-2</v>
      </c>
    </row>
    <row r="12" spans="1:18" x14ac:dyDescent="0.2">
      <c r="B12" t="s">
        <v>4</v>
      </c>
      <c r="C12" s="5">
        <f>C13/C10</f>
        <v>0.12564398649848998</v>
      </c>
      <c r="D12" s="5">
        <f t="shared" ref="D12:G12" si="5">D13/D10</f>
        <v>0.11988004103859205</v>
      </c>
      <c r="E12" s="5">
        <f t="shared" si="5"/>
        <v>0.14293081853680101</v>
      </c>
      <c r="F12" s="5">
        <f t="shared" si="5"/>
        <v>0.14491437467566165</v>
      </c>
      <c r="G12" s="5">
        <f t="shared" si="5"/>
        <v>0.14631529035961172</v>
      </c>
      <c r="H12" s="9">
        <f>Optimistisch!H12</f>
        <v>0.1542</v>
      </c>
      <c r="I12" s="9">
        <f>Optimistisch!I12</f>
        <v>0.15260000000000001</v>
      </c>
      <c r="J12" s="9">
        <f>Optimistisch!J12</f>
        <v>0.15359999999999999</v>
      </c>
      <c r="K12" s="9">
        <f>Optimistisch!K12</f>
        <v>0.1575</v>
      </c>
      <c r="L12" s="9">
        <f>Optimistisch!L12</f>
        <v>0.16</v>
      </c>
      <c r="M12" s="9">
        <f>Optimistisch!M12</f>
        <v>0.16</v>
      </c>
      <c r="N12" s="9">
        <f>Optimistisch!N12</f>
        <v>0.16250000000000001</v>
      </c>
      <c r="O12" s="9">
        <f>Optimistisch!O12</f>
        <v>0.16500000000000001</v>
      </c>
      <c r="P12" s="9">
        <f>Optimistisch!P12</f>
        <v>0.16500000000000001</v>
      </c>
      <c r="Q12" s="9">
        <f>Optimistisch!Q12</f>
        <v>0.16750000000000001</v>
      </c>
      <c r="R12" s="9">
        <f>Optimistisch!R12</f>
        <v>0.17</v>
      </c>
    </row>
    <row r="13" spans="1:18" x14ac:dyDescent="0.2">
      <c r="B13" t="s">
        <v>5</v>
      </c>
      <c r="C13" s="4">
        <f>Optimistisch!C13</f>
        <v>2.8290000000000002</v>
      </c>
      <c r="D13" s="4">
        <f>Optimistisch!D13</f>
        <v>3.0379999999999998</v>
      </c>
      <c r="E13" s="4">
        <f>Optimistisch!E13</f>
        <v>3.88</v>
      </c>
      <c r="F13" s="4">
        <f>Optimistisch!F13</f>
        <v>4.468</v>
      </c>
      <c r="G13" s="4">
        <f>Optimistisch!G13</f>
        <v>5.8630000000000004</v>
      </c>
      <c r="H13" s="8">
        <f t="shared" ref="H13:J13" si="6">H10*H12</f>
        <v>6.7041587969999989</v>
      </c>
      <c r="I13" s="8">
        <f t="shared" si="6"/>
        <v>7.1985361619849995</v>
      </c>
      <c r="J13" s="8">
        <f t="shared" si="6"/>
        <v>7.8615939882815971</v>
      </c>
      <c r="K13" s="8">
        <f>K10*K12</f>
        <v>8.7464071788572362</v>
      </c>
      <c r="L13" s="8">
        <f t="shared" ref="L13:R13" si="7">L10*L12</f>
        <v>9.6404843571404211</v>
      </c>
      <c r="M13" s="8">
        <f t="shared" si="7"/>
        <v>10.459925527497356</v>
      </c>
      <c r="N13" s="8">
        <f t="shared" si="7"/>
        <v>11.526347622292985</v>
      </c>
      <c r="O13" s="8">
        <f t="shared" si="7"/>
        <v>12.698488511267701</v>
      </c>
      <c r="P13" s="8">
        <f t="shared" si="7"/>
        <v>13.777860034725457</v>
      </c>
      <c r="Q13" s="8">
        <f t="shared" si="7"/>
        <v>15.175477806429804</v>
      </c>
      <c r="R13" s="8">
        <f t="shared" si="7"/>
        <v>15.787026912062048</v>
      </c>
    </row>
    <row r="14" spans="1:18" x14ac:dyDescent="0.2">
      <c r="A14" s="9">
        <f>Optimistisch!A14</f>
        <v>0.25</v>
      </c>
      <c r="B14" t="s">
        <v>6</v>
      </c>
      <c r="C14" s="4">
        <f>Optimistisch!C14</f>
        <v>2.0739999999999998</v>
      </c>
      <c r="D14" s="4">
        <f>Optimistisch!D14</f>
        <v>2.1700000000000004</v>
      </c>
      <c r="E14" s="4">
        <f>Optimistisch!E14</f>
        <v>2.8660000000000001</v>
      </c>
      <c r="F14" s="4">
        <f>Optimistisch!F14</f>
        <v>3.3200000000000003</v>
      </c>
      <c r="G14" s="4">
        <f>Optimistisch!G14</f>
        <v>4.351</v>
      </c>
      <c r="H14" s="8">
        <f>H13*(1-$A$14)</f>
        <v>5.0281190977499994</v>
      </c>
      <c r="I14" s="8">
        <f t="shared" ref="I14:J14" si="8">I13*(1-$A$14)</f>
        <v>5.3989021214887494</v>
      </c>
      <c r="J14" s="8">
        <f t="shared" si="8"/>
        <v>5.8961954912111976</v>
      </c>
      <c r="K14" s="8">
        <f>K13*(1-$A$14)</f>
        <v>6.5598053841429271</v>
      </c>
      <c r="L14" s="8">
        <f t="shared" ref="L14:R14" si="9">L13*(1-$A$14)</f>
        <v>7.2303632678553154</v>
      </c>
      <c r="M14" s="8">
        <f t="shared" si="9"/>
        <v>7.8449441456230176</v>
      </c>
      <c r="N14" s="8">
        <f t="shared" si="9"/>
        <v>8.6447607167197376</v>
      </c>
      <c r="O14" s="8">
        <f t="shared" si="9"/>
        <v>9.5238663834507769</v>
      </c>
      <c r="P14" s="8">
        <f t="shared" si="9"/>
        <v>10.333395026044093</v>
      </c>
      <c r="Q14" s="8">
        <f t="shared" si="9"/>
        <v>11.381608354822353</v>
      </c>
      <c r="R14" s="8">
        <f t="shared" si="9"/>
        <v>11.840270184046537</v>
      </c>
    </row>
    <row r="15" spans="1:18" x14ac:dyDescent="0.2">
      <c r="A15" s="9">
        <f>Optimistisch!A15</f>
        <v>1</v>
      </c>
      <c r="B15" t="s">
        <v>28</v>
      </c>
      <c r="H15" s="8">
        <f>C33</f>
        <v>2.0160664879999999</v>
      </c>
      <c r="I15" s="8">
        <f>H15*$A$15</f>
        <v>2.0160664879999999</v>
      </c>
      <c r="J15" s="8">
        <f t="shared" ref="J15:Q15" si="10">I15*$A$15</f>
        <v>2.0160664879999999</v>
      </c>
      <c r="K15" s="8">
        <f t="shared" si="10"/>
        <v>2.0160664879999999</v>
      </c>
      <c r="L15" s="8">
        <f t="shared" si="10"/>
        <v>2.0160664879999999</v>
      </c>
      <c r="M15" s="8">
        <f t="shared" si="10"/>
        <v>2.0160664879999999</v>
      </c>
      <c r="N15" s="8">
        <f t="shared" si="10"/>
        <v>2.0160664879999999</v>
      </c>
      <c r="O15" s="8">
        <f t="shared" si="10"/>
        <v>2.0160664879999999</v>
      </c>
      <c r="P15" s="8">
        <f t="shared" si="10"/>
        <v>2.0160664879999999</v>
      </c>
      <c r="Q15" s="8">
        <f t="shared" si="10"/>
        <v>2.0160664879999999</v>
      </c>
      <c r="R15" s="7" t="s">
        <v>10</v>
      </c>
    </row>
    <row r="16" spans="1:18" x14ac:dyDescent="0.2">
      <c r="B16" t="s">
        <v>8</v>
      </c>
      <c r="H16" s="8">
        <f>H14/H15</f>
        <v>2.494024441990526</v>
      </c>
      <c r="I16" s="8">
        <f t="shared" ref="I16:P16" si="11">I14/I15</f>
        <v>2.6779385271388678</v>
      </c>
      <c r="J16" s="8">
        <f t="shared" si="11"/>
        <v>2.9246036905560615</v>
      </c>
      <c r="K16" s="8">
        <f t="shared" si="11"/>
        <v>3.2537644086581969</v>
      </c>
      <c r="L16" s="8">
        <f t="shared" si="11"/>
        <v>3.5863714370988125</v>
      </c>
      <c r="M16" s="8">
        <f t="shared" si="11"/>
        <v>3.8912130092522119</v>
      </c>
      <c r="N16" s="8">
        <f t="shared" si="11"/>
        <v>4.2879343355861277</v>
      </c>
      <c r="O16" s="8">
        <f t="shared" si="11"/>
        <v>4.7239842734049642</v>
      </c>
      <c r="P16" s="8">
        <f t="shared" si="11"/>
        <v>5.1255229366443853</v>
      </c>
      <c r="Q16" s="8">
        <f>Q14/Q15</f>
        <v>5.6454528769600545</v>
      </c>
      <c r="R16" s="7" t="s">
        <v>10</v>
      </c>
    </row>
    <row r="17" spans="1:18" x14ac:dyDescent="0.2">
      <c r="F17" s="21" t="s">
        <v>22</v>
      </c>
      <c r="G17" s="22"/>
      <c r="H17" s="23">
        <f>H14/(1+$B$29)</f>
        <v>4.6331756245723872</v>
      </c>
      <c r="I17" s="23">
        <f>I14/(1+$B$29)^2</f>
        <v>4.584076617637475</v>
      </c>
      <c r="J17" s="23">
        <f>J14/(1+$B$29)^3</f>
        <v>4.6130854029818664</v>
      </c>
      <c r="K17" s="23">
        <f>K14/(1+$B$29)^4</f>
        <v>4.7291575469335374</v>
      </c>
      <c r="L17" s="23">
        <f>L14/(1+$B$29)^5</f>
        <v>4.8031500246443315</v>
      </c>
      <c r="M17" s="23">
        <f>M14/(1+$B$29)^6</f>
        <v>4.802076749426142</v>
      </c>
      <c r="N17" s="23">
        <f>N14/(1+$B$29)^7</f>
        <v>4.8760193970656118</v>
      </c>
      <c r="O17" s="23">
        <f>O14/(1+$B$29)^8</f>
        <v>4.9499287596142505</v>
      </c>
      <c r="P17" s="23">
        <f>P14/(1+$B$29)^9</f>
        <v>4.9488226863410354</v>
      </c>
      <c r="Q17" s="23">
        <f>Q14/(1+$B$29)^10</f>
        <v>5.0226822671955738</v>
      </c>
      <c r="R17" s="26">
        <f>(R14/(B29-R11))/(1+B29)^10</f>
        <v>86.734263452261402</v>
      </c>
    </row>
    <row r="18" spans="1:18" x14ac:dyDescent="0.2"/>
    <row r="19" spans="1:18" x14ac:dyDescent="0.2">
      <c r="A19" s="19" t="s">
        <v>24</v>
      </c>
      <c r="B19" s="11"/>
    </row>
    <row r="20" spans="1:18" x14ac:dyDescent="0.2">
      <c r="B20" s="13"/>
    </row>
    <row r="21" spans="1:18" x14ac:dyDescent="0.2">
      <c r="A21" t="s">
        <v>11</v>
      </c>
      <c r="B21" s="14">
        <f>Optimistisch!B21</f>
        <v>2.6450000000000001E-2</v>
      </c>
    </row>
    <row r="22" spans="1:18" x14ac:dyDescent="0.2">
      <c r="B22" s="13"/>
    </row>
    <row r="23" spans="1:18" x14ac:dyDescent="0.2">
      <c r="A23" t="s">
        <v>12</v>
      </c>
      <c r="B23" s="14">
        <f>(B25-B21)*B27</f>
        <v>5.8792500000000011E-2</v>
      </c>
    </row>
    <row r="24" spans="1:18" x14ac:dyDescent="0.2">
      <c r="B24" s="13"/>
    </row>
    <row r="25" spans="1:18" x14ac:dyDescent="0.2">
      <c r="A25" t="s">
        <v>13</v>
      </c>
      <c r="B25" s="14">
        <f>Optimistisch!B25</f>
        <v>7.0000000000000007E-2</v>
      </c>
    </row>
    <row r="26" spans="1:18" x14ac:dyDescent="0.2">
      <c r="B26" s="13"/>
    </row>
    <row r="27" spans="1:18" x14ac:dyDescent="0.2">
      <c r="A27" t="s">
        <v>14</v>
      </c>
      <c r="B27" s="15">
        <f>Optimistisch!B27</f>
        <v>1.35</v>
      </c>
    </row>
    <row r="28" spans="1:18" x14ac:dyDescent="0.2">
      <c r="B28" s="13"/>
    </row>
    <row r="29" spans="1:18" x14ac:dyDescent="0.2">
      <c r="A29" s="17" t="s">
        <v>15</v>
      </c>
      <c r="B29" s="18">
        <f>B21+(B25-B21)*B27</f>
        <v>8.5242500000000013E-2</v>
      </c>
    </row>
    <row r="30" spans="1:18" x14ac:dyDescent="0.2"/>
    <row r="31" spans="1:18" x14ac:dyDescent="0.2">
      <c r="A31" s="2"/>
      <c r="B31" s="2"/>
      <c r="C31" s="30">
        <f>Optimistisch!C31</f>
        <v>45240</v>
      </c>
      <c r="D31" s="31" t="s">
        <v>16</v>
      </c>
    </row>
    <row r="32" spans="1:18" x14ac:dyDescent="0.2">
      <c r="A32" s="6" t="s">
        <v>17</v>
      </c>
      <c r="B32" s="6" t="s">
        <v>18</v>
      </c>
      <c r="C32" s="8">
        <f>C33*C34</f>
        <v>131.72978432592001</v>
      </c>
      <c r="D32" s="8">
        <f>SUM(H17:R17)</f>
        <v>134.69643852867364</v>
      </c>
    </row>
    <row r="33" spans="1:4" x14ac:dyDescent="0.2">
      <c r="A33" s="6"/>
      <c r="B33" s="6" t="s">
        <v>7</v>
      </c>
      <c r="C33" s="8">
        <f>Optimistisch!C33</f>
        <v>2.0160664879999999</v>
      </c>
      <c r="D33" s="8">
        <f>C33</f>
        <v>2.0160664879999999</v>
      </c>
    </row>
    <row r="34" spans="1:4" x14ac:dyDescent="0.2">
      <c r="A34" s="6"/>
      <c r="B34" s="6" t="s">
        <v>19</v>
      </c>
      <c r="C34" s="8">
        <f>Optimistisch!C34</f>
        <v>65.34</v>
      </c>
      <c r="D34" s="8">
        <f>D32/D33</f>
        <v>66.811506133558453</v>
      </c>
    </row>
    <row r="35" spans="1:4" x14ac:dyDescent="0.2">
      <c r="A35" s="6"/>
      <c r="B35" s="6" t="s">
        <v>20</v>
      </c>
      <c r="C35" s="6"/>
      <c r="D35" s="9">
        <f>IF(C34/D34-1&gt;0,0,C34/D34-1)*-1</f>
        <v>2.2024741226711164E-2</v>
      </c>
    </row>
    <row r="36" spans="1:4" x14ac:dyDescent="0.2">
      <c r="A36" s="6"/>
      <c r="B36" s="6" t="s">
        <v>21</v>
      </c>
      <c r="C36" s="6"/>
      <c r="D36" s="9">
        <f>IF(C34/D34-1&lt;0,0,C34/D34-1)</f>
        <v>0</v>
      </c>
    </row>
    <row r="37" spans="1:4" x14ac:dyDescent="0.2">
      <c r="A37" s="24"/>
      <c r="B37" s="24"/>
      <c r="C37" s="24"/>
      <c r="D37" s="24"/>
    </row>
    <row r="38" spans="1:4" x14ac:dyDescent="0.2">
      <c r="A38" s="25" t="s">
        <v>23</v>
      </c>
      <c r="B38" s="10"/>
      <c r="C38" s="10"/>
      <c r="D38" s="11"/>
    </row>
    <row r="39" spans="1:4" x14ac:dyDescent="0.2">
      <c r="A39" s="12"/>
      <c r="D39" s="13"/>
    </row>
    <row r="40" spans="1:4" x14ac:dyDescent="0.2">
      <c r="A40" s="12" t="str">
        <f>"KGV in "&amp;Q9&amp;":"</f>
        <v>KGV in 2032:</v>
      </c>
      <c r="D40" s="15">
        <v>29</v>
      </c>
    </row>
    <row r="41" spans="1:4" x14ac:dyDescent="0.2">
      <c r="A41" s="12"/>
      <c r="D41" s="13"/>
    </row>
    <row r="42" spans="1:4" x14ac:dyDescent="0.2">
      <c r="A42" s="12" t="str">
        <f>"Aktienkurs in "&amp;Q9&amp;":"</f>
        <v>Aktienkurs in 2032:</v>
      </c>
      <c r="D42" s="15">
        <f>Q16*D40</f>
        <v>163.71813343184158</v>
      </c>
    </row>
    <row r="43" spans="1:4" x14ac:dyDescent="0.2">
      <c r="A43" s="12"/>
      <c r="D43" s="13"/>
    </row>
    <row r="44" spans="1:4" x14ac:dyDescent="0.2">
      <c r="A44" s="12" t="s">
        <v>25</v>
      </c>
      <c r="D44" s="14">
        <f>Optimistisch!D44</f>
        <v>0.3</v>
      </c>
    </row>
    <row r="45" spans="1:4" x14ac:dyDescent="0.2">
      <c r="A45" s="12"/>
      <c r="D45" s="13"/>
    </row>
    <row r="46" spans="1:4" x14ac:dyDescent="0.2">
      <c r="A46" s="12" t="s">
        <v>26</v>
      </c>
      <c r="D46" s="15">
        <f>D44*SUM(H16:Q16)</f>
        <v>11.583242981187064</v>
      </c>
    </row>
    <row r="47" spans="1:4" x14ac:dyDescent="0.2">
      <c r="A47" s="12"/>
      <c r="D47" s="13"/>
    </row>
    <row r="48" spans="1:4" x14ac:dyDescent="0.2">
      <c r="A48" s="12" t="s">
        <v>27</v>
      </c>
      <c r="D48" s="14">
        <f>Optimistisch!D48</f>
        <v>0.15</v>
      </c>
    </row>
    <row r="49" spans="1:4" x14ac:dyDescent="0.2">
      <c r="A49" s="12"/>
      <c r="D49" s="13"/>
    </row>
    <row r="50" spans="1:4" x14ac:dyDescent="0.2">
      <c r="A50" s="12" t="str">
        <f>"Gesamtwert "&amp;Q9</f>
        <v>Gesamtwert 2032</v>
      </c>
      <c r="D50" s="15">
        <f>D42+D46*(1-D48)</f>
        <v>173.56388996585059</v>
      </c>
    </row>
    <row r="51" spans="1:4" x14ac:dyDescent="0.2">
      <c r="A51" s="12"/>
      <c r="D51" s="13"/>
    </row>
    <row r="52" spans="1:4" x14ac:dyDescent="0.2">
      <c r="A52" s="12" t="str">
        <f>"Steigerung bis "&amp;Q9</f>
        <v>Steigerung bis 2032</v>
      </c>
      <c r="D52" s="14">
        <f>D50/C34-1</f>
        <v>1.6563190995691857</v>
      </c>
    </row>
    <row r="53" spans="1:4" x14ac:dyDescent="0.2">
      <c r="A53" s="12"/>
      <c r="D53" s="13"/>
    </row>
    <row r="54" spans="1:4" x14ac:dyDescent="0.2">
      <c r="A54" s="27" t="str">
        <f>"Renditeerwartung bis "&amp;Q9&amp;" pro Jahr"</f>
        <v>Renditeerwartung bis 2032 pro Jahr</v>
      </c>
      <c r="B54" s="28"/>
      <c r="C54" s="28"/>
      <c r="D54" s="29">
        <f>(D50/C34)^(1/10)-1</f>
        <v>0.10262548089232926</v>
      </c>
    </row>
    <row r="55" spans="1:4" x14ac:dyDescent="0.2"/>
    <row r="56" spans="1:4" x14ac:dyDescent="0.2"/>
    <row r="57" spans="1:4" x14ac:dyDescent="0.2"/>
    <row r="58" spans="1:4" x14ac:dyDescent="0.2"/>
    <row r="59" spans="1:4" x14ac:dyDescent="0.2"/>
    <row r="60" spans="1:4" x14ac:dyDescent="0.2"/>
    <row r="61" spans="1:4" x14ac:dyDescent="0.2"/>
    <row r="62" spans="1:4" x14ac:dyDescent="0.2"/>
    <row r="63" spans="1:4" x14ac:dyDescent="0.2"/>
    <row r="64" spans="1:4" x14ac:dyDescent="0.2"/>
    <row r="65" x14ac:dyDescent="0.2"/>
  </sheetData>
  <pageMargins left="0.7" right="0.7" top="0.78740157499999996" bottom="0.78740157499999996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AC595-0A3D-DE41-8B7F-3ABB60455D02}">
  <dimension ref="A1:R55"/>
  <sheetViews>
    <sheetView showGridLines="0" showRowColHeaders="0" workbookViewId="0"/>
  </sheetViews>
  <sheetFormatPr baseColWidth="10" defaultColWidth="0" defaultRowHeight="16" zeroHeight="1" x14ac:dyDescent="0.2"/>
  <cols>
    <col min="1" max="1" width="22.5" customWidth="1"/>
    <col min="2" max="2" width="35" customWidth="1"/>
    <col min="3" max="14" width="13.33203125" customWidth="1"/>
    <col min="15" max="18" width="13.33203125" hidden="1"/>
    <col min="19" max="16384" width="10.83203125" hidden="1"/>
  </cols>
  <sheetData>
    <row r="1" spans="1:18" x14ac:dyDescent="0.2"/>
    <row r="2" spans="1:18" ht="26" x14ac:dyDescent="0.3">
      <c r="B2" s="20" t="s">
        <v>29</v>
      </c>
    </row>
    <row r="3" spans="1:18" x14ac:dyDescent="0.2"/>
    <row r="4" spans="1:18" x14ac:dyDescent="0.2">
      <c r="B4" t="str">
        <f>Optimistisch!B4</f>
        <v>Annahmen für Nibe Industrier</v>
      </c>
    </row>
    <row r="5" spans="1:18" x14ac:dyDescent="0.2"/>
    <row r="6" spans="1:18" x14ac:dyDescent="0.2">
      <c r="B6" t="str">
        <f>Optimistisch!B6</f>
        <v>Alle Angaben in Mrd.</v>
      </c>
    </row>
    <row r="7" spans="1:18" x14ac:dyDescent="0.2"/>
    <row r="8" spans="1:18" x14ac:dyDescent="0.2">
      <c r="A8" s="2"/>
      <c r="B8" s="2"/>
      <c r="C8" s="2"/>
      <c r="D8" s="2"/>
      <c r="E8" s="2"/>
      <c r="F8" s="2"/>
      <c r="G8" s="2"/>
      <c r="H8" s="3" t="s">
        <v>9</v>
      </c>
      <c r="I8" s="2"/>
      <c r="J8" s="2"/>
      <c r="K8" s="2"/>
      <c r="L8" s="2"/>
      <c r="M8" s="2"/>
    </row>
    <row r="9" spans="1:18" x14ac:dyDescent="0.2">
      <c r="C9">
        <f>Optimistisch!C9</f>
        <v>2018</v>
      </c>
      <c r="D9">
        <f>C9+1</f>
        <v>2019</v>
      </c>
      <c r="E9">
        <f t="shared" ref="E9:M9" si="0">D9+1</f>
        <v>2020</v>
      </c>
      <c r="F9">
        <f t="shared" si="0"/>
        <v>2021</v>
      </c>
      <c r="G9">
        <f t="shared" si="0"/>
        <v>2022</v>
      </c>
      <c r="H9" s="6">
        <f>G9+1</f>
        <v>2023</v>
      </c>
      <c r="I9" s="6">
        <f t="shared" si="0"/>
        <v>2024</v>
      </c>
      <c r="J9" s="6">
        <f t="shared" si="0"/>
        <v>2025</v>
      </c>
      <c r="K9" s="6">
        <f t="shared" si="0"/>
        <v>2026</v>
      </c>
      <c r="L9" s="6">
        <f t="shared" si="0"/>
        <v>2027</v>
      </c>
      <c r="M9" s="6">
        <f t="shared" si="0"/>
        <v>2028</v>
      </c>
      <c r="R9" s="1"/>
    </row>
    <row r="10" spans="1:18" x14ac:dyDescent="0.2">
      <c r="B10" t="s">
        <v>2</v>
      </c>
      <c r="C10" s="4">
        <f>Optimistisch!C10</f>
        <v>22.515999999999998</v>
      </c>
      <c r="D10" s="4">
        <f>Optimistisch!D10</f>
        <v>25.341999999999999</v>
      </c>
      <c r="E10" s="4">
        <f>Optimistisch!E10</f>
        <v>27.146000000000001</v>
      </c>
      <c r="F10" s="4">
        <f>Optimistisch!F10</f>
        <v>30.832000000000001</v>
      </c>
      <c r="G10" s="4">
        <f>Optimistisch!G10</f>
        <v>40.070999999999998</v>
      </c>
      <c r="H10" s="8">
        <f>Optimistisch!H10</f>
        <v>48.542070000000002</v>
      </c>
      <c r="I10" s="8">
        <f>Optimistisch!I10</f>
        <v>53.16433</v>
      </c>
      <c r="J10" s="8">
        <f>Optimistisch!J10</f>
        <v>59.281120000000001</v>
      </c>
      <c r="K10" s="8">
        <f>(Optimistisch!K10+Pessimistisch!K10)/2</f>
        <v>67.5804768</v>
      </c>
      <c r="L10" s="8">
        <f>(Optimistisch!L10+Pessimistisch!L10)/2</f>
        <v>75.784983807999993</v>
      </c>
      <c r="M10" s="8">
        <f>(Optimistisch!M10+Pessimistisch!M10)/2</f>
        <v>84.687822409599988</v>
      </c>
      <c r="N10" s="4"/>
      <c r="O10" s="4"/>
      <c r="P10" s="4"/>
      <c r="Q10" s="4"/>
      <c r="R10" s="4"/>
    </row>
    <row r="11" spans="1:18" x14ac:dyDescent="0.2">
      <c r="B11" t="s">
        <v>30</v>
      </c>
      <c r="C11" s="5">
        <f>C12/C10</f>
        <v>5.8180849173920773E-2</v>
      </c>
      <c r="D11" s="5">
        <f>D12/D10</f>
        <v>8.6141583142609099E-2</v>
      </c>
      <c r="E11" s="5">
        <f>E12/E10</f>
        <v>0.15214027849406911</v>
      </c>
      <c r="F11" s="5">
        <f>F12/F10</f>
        <v>7.258692267773742E-2</v>
      </c>
      <c r="G11" s="5">
        <f>G12/G10</f>
        <v>1.5722093284420154E-2</v>
      </c>
      <c r="H11" s="9">
        <v>-5.3800000000000001E-2</v>
      </c>
      <c r="I11" s="9">
        <v>9.5399999999999999E-2</v>
      </c>
      <c r="J11" s="9">
        <v>9.3700000000000006E-2</v>
      </c>
      <c r="K11" s="9">
        <v>0.105</v>
      </c>
      <c r="L11" s="9">
        <v>0.09</v>
      </c>
      <c r="M11" s="9">
        <v>0.12</v>
      </c>
      <c r="N11" s="5"/>
      <c r="O11" s="5"/>
      <c r="P11" s="5"/>
      <c r="Q11" s="5"/>
      <c r="R11" s="5"/>
    </row>
    <row r="12" spans="1:18" x14ac:dyDescent="0.2">
      <c r="B12" t="s">
        <v>31</v>
      </c>
      <c r="C12" s="4">
        <f>1.888-0.372-0.06-0.146</f>
        <v>1.31</v>
      </c>
      <c r="D12" s="4">
        <f>2.958-0.381-0.06-0.334</f>
        <v>2.1829999999999998</v>
      </c>
      <c r="E12" s="4">
        <f>5.023-0.384-0.254-0.255</f>
        <v>4.13</v>
      </c>
      <c r="F12" s="4">
        <f>3.262-0.448-0.149-0.427</f>
        <v>2.238</v>
      </c>
      <c r="G12" s="4">
        <f>2.614-0.643-1.034-0.307</f>
        <v>0.62999999999999989</v>
      </c>
      <c r="H12" s="8">
        <f>H10*H11</f>
        <v>-2.6115633659999999</v>
      </c>
      <c r="I12" s="8">
        <f t="shared" ref="I12:L12" si="1">I10*I11</f>
        <v>5.0718770820000003</v>
      </c>
      <c r="J12" s="8">
        <f t="shared" si="1"/>
        <v>5.5546409440000009</v>
      </c>
      <c r="K12" s="8">
        <f t="shared" si="1"/>
        <v>7.0959500639999993</v>
      </c>
      <c r="L12" s="8">
        <f t="shared" si="1"/>
        <v>6.820648542719999</v>
      </c>
      <c r="M12" s="8">
        <f>M10*M11</f>
        <v>10.162538689151999</v>
      </c>
      <c r="N12" s="4"/>
      <c r="O12" s="4"/>
      <c r="P12" s="4"/>
      <c r="Q12" s="4"/>
      <c r="R12" s="4"/>
    </row>
    <row r="13" spans="1:18" x14ac:dyDescent="0.2">
      <c r="F13" s="21" t="s">
        <v>32</v>
      </c>
      <c r="G13" s="22"/>
      <c r="H13" s="23">
        <f>H12/(1+$B$37)</f>
        <v>-2.4164005693574735</v>
      </c>
      <c r="I13" s="23">
        <f>I12/(1+$B$37)^2</f>
        <v>4.3421562060049403</v>
      </c>
      <c r="J13" s="23">
        <f>J12/(1+$B$37)^3</f>
        <v>4.4000850959477278</v>
      </c>
      <c r="K13" s="23">
        <f>K12/(1+$B$37)^4</f>
        <v>5.2009657845161348</v>
      </c>
      <c r="L13" s="23">
        <f>L12/(1+$B$37)^5</f>
        <v>4.6255936617238831</v>
      </c>
      <c r="M13" s="26">
        <f>(M12/(B37-B39))/(1+B37)^5</f>
        <v>123.5876879491246</v>
      </c>
      <c r="N13" s="4"/>
      <c r="O13" s="4"/>
      <c r="P13" s="4"/>
      <c r="Q13" s="4"/>
      <c r="R13" s="4"/>
    </row>
    <row r="14" spans="1:18" x14ac:dyDescent="0.2"/>
    <row r="15" spans="1:18" x14ac:dyDescent="0.2">
      <c r="A15" s="19" t="s">
        <v>24</v>
      </c>
      <c r="B15" s="11"/>
    </row>
    <row r="16" spans="1:18" x14ac:dyDescent="0.2">
      <c r="B16" s="13"/>
    </row>
    <row r="17" spans="1:2" x14ac:dyDescent="0.2">
      <c r="A17" t="s">
        <v>11</v>
      </c>
      <c r="B17" s="14">
        <f>Optimistisch!B21</f>
        <v>2.6450000000000001E-2</v>
      </c>
    </row>
    <row r="18" spans="1:2" x14ac:dyDescent="0.2">
      <c r="B18" s="13"/>
    </row>
    <row r="19" spans="1:2" x14ac:dyDescent="0.2">
      <c r="A19" t="s">
        <v>12</v>
      </c>
      <c r="B19" s="14">
        <f>(B21-B17)*B23</f>
        <v>5.8792500000000011E-2</v>
      </c>
    </row>
    <row r="20" spans="1:2" x14ac:dyDescent="0.2">
      <c r="B20" s="13"/>
    </row>
    <row r="21" spans="1:2" x14ac:dyDescent="0.2">
      <c r="A21" t="s">
        <v>13</v>
      </c>
      <c r="B21" s="14">
        <f>Optimistisch!B25</f>
        <v>7.0000000000000007E-2</v>
      </c>
    </row>
    <row r="22" spans="1:2" x14ac:dyDescent="0.2">
      <c r="B22" s="13"/>
    </row>
    <row r="23" spans="1:2" x14ac:dyDescent="0.2">
      <c r="A23" t="s">
        <v>14</v>
      </c>
      <c r="B23" s="15">
        <f>Optimistisch!B27</f>
        <v>1.35</v>
      </c>
    </row>
    <row r="24" spans="1:2" x14ac:dyDescent="0.2">
      <c r="B24" s="13"/>
    </row>
    <row r="25" spans="1:2" x14ac:dyDescent="0.2">
      <c r="A25" s="17" t="s">
        <v>15</v>
      </c>
      <c r="B25" s="18">
        <f>B17+(B21-B17)*B23</f>
        <v>8.5242500000000013E-2</v>
      </c>
    </row>
    <row r="26" spans="1:2" x14ac:dyDescent="0.2"/>
    <row r="27" spans="1:2" x14ac:dyDescent="0.2">
      <c r="A27" s="25" t="s">
        <v>33</v>
      </c>
      <c r="B27" s="11"/>
    </row>
    <row r="28" spans="1:2" x14ac:dyDescent="0.2">
      <c r="A28" s="12"/>
      <c r="B28" s="13"/>
    </row>
    <row r="29" spans="1:2" x14ac:dyDescent="0.2">
      <c r="A29" s="12" t="s">
        <v>38</v>
      </c>
      <c r="B29" s="15">
        <f>C42</f>
        <v>131.72978432592001</v>
      </c>
    </row>
    <row r="30" spans="1:2" x14ac:dyDescent="0.2">
      <c r="A30" s="12"/>
      <c r="B30" s="13"/>
    </row>
    <row r="31" spans="1:2" x14ac:dyDescent="0.2">
      <c r="A31" s="12" t="s">
        <v>39</v>
      </c>
      <c r="B31" s="15">
        <v>9.5559999999999992</v>
      </c>
    </row>
    <row r="32" spans="1:2" x14ac:dyDescent="0.2">
      <c r="A32" s="12"/>
      <c r="B32" s="13"/>
    </row>
    <row r="33" spans="1:4" x14ac:dyDescent="0.2">
      <c r="A33" s="12" t="s">
        <v>34</v>
      </c>
      <c r="B33" s="14">
        <v>2.4E-2</v>
      </c>
    </row>
    <row r="34" spans="1:4" x14ac:dyDescent="0.2">
      <c r="A34" s="12"/>
      <c r="B34" s="13"/>
    </row>
    <row r="35" spans="1:4" x14ac:dyDescent="0.2">
      <c r="A35" s="12" t="s">
        <v>35</v>
      </c>
      <c r="B35" s="14">
        <v>0.20599999999999999</v>
      </c>
    </row>
    <row r="36" spans="1:4" x14ac:dyDescent="0.2">
      <c r="A36" s="12"/>
      <c r="B36" s="13"/>
    </row>
    <row r="37" spans="1:4" x14ac:dyDescent="0.2">
      <c r="A37" s="16" t="s">
        <v>36</v>
      </c>
      <c r="B37" s="18">
        <f>B25*(B29/(B29+B31))+B33*(B31/(B29+B31))*(1-B35)</f>
        <v>8.0765912372889617E-2</v>
      </c>
    </row>
    <row r="38" spans="1:4" x14ac:dyDescent="0.2">
      <c r="B38" s="5"/>
    </row>
    <row r="39" spans="1:4" x14ac:dyDescent="0.2">
      <c r="A39" t="s">
        <v>37</v>
      </c>
      <c r="B39" s="5">
        <v>2.5000000000000001E-2</v>
      </c>
    </row>
    <row r="40" spans="1:4" x14ac:dyDescent="0.2"/>
    <row r="41" spans="1:4" x14ac:dyDescent="0.2">
      <c r="A41" s="2"/>
      <c r="B41" s="2"/>
      <c r="C41" s="30">
        <f>Optimistisch!C31</f>
        <v>45240</v>
      </c>
      <c r="D41" s="31" t="s">
        <v>16</v>
      </c>
    </row>
    <row r="42" spans="1:4" x14ac:dyDescent="0.2">
      <c r="A42" s="6" t="s">
        <v>17</v>
      </c>
      <c r="B42" s="6" t="s">
        <v>18</v>
      </c>
      <c r="C42" s="8">
        <f>C43*C44</f>
        <v>131.72978432592001</v>
      </c>
      <c r="D42" s="8">
        <f>SUM(H13:M13)-B31</f>
        <v>130.1840881279598</v>
      </c>
    </row>
    <row r="43" spans="1:4" x14ac:dyDescent="0.2">
      <c r="A43" s="6"/>
      <c r="B43" s="6" t="s">
        <v>7</v>
      </c>
      <c r="C43" s="8">
        <f>Optimistisch!C33</f>
        <v>2.0160664879999999</v>
      </c>
      <c r="D43" s="8">
        <f>C43</f>
        <v>2.0160664879999999</v>
      </c>
    </row>
    <row r="44" spans="1:4" x14ac:dyDescent="0.2">
      <c r="A44" s="6"/>
      <c r="B44" s="6" t="s">
        <v>19</v>
      </c>
      <c r="C44" s="8">
        <f>Optimistisch!C34</f>
        <v>65.34</v>
      </c>
      <c r="D44" s="8">
        <f>D42/D43</f>
        <v>64.573310901619337</v>
      </c>
    </row>
    <row r="45" spans="1:4" x14ac:dyDescent="0.2">
      <c r="A45" s="6"/>
      <c r="B45" s="6" t="s">
        <v>20</v>
      </c>
      <c r="C45" s="6"/>
      <c r="D45" s="9">
        <f>IF(C44/D44-1&gt;0,0,C44/D44-1)*-1</f>
        <v>0</v>
      </c>
    </row>
    <row r="46" spans="1:4" x14ac:dyDescent="0.2">
      <c r="A46" s="6"/>
      <c r="B46" s="6" t="s">
        <v>21</v>
      </c>
      <c r="C46" s="6"/>
      <c r="D46" s="9">
        <f>IF(C44/D44-1&lt;0,0,C44/D44-1)</f>
        <v>1.1873157620007291E-2</v>
      </c>
    </row>
    <row r="47" spans="1:4" x14ac:dyDescent="0.2"/>
    <row r="48" spans="1:4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</sheetData>
  <pageMargins left="0.7" right="0.7" top="0.78740157499999996" bottom="0.78740157499999996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Optimistisch</vt:lpstr>
      <vt:lpstr>Pessimistisch</vt:lpstr>
      <vt:lpstr>Wachstum für Faire Bewertung</vt:lpstr>
      <vt:lpstr>DCF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Tilman Reichel</dc:creator>
  <cp:lastModifiedBy>Tilman Reichel</cp:lastModifiedBy>
  <dcterms:created xsi:type="dcterms:W3CDTF">2023-11-01T21:06:40Z</dcterms:created>
  <dcterms:modified xsi:type="dcterms:W3CDTF">2023-11-10T17:50:30Z</dcterms:modified>
</cp:coreProperties>
</file>