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lmanreichel/Documents/Wir lieben Aktien/PepsiCo/"/>
    </mc:Choice>
  </mc:AlternateContent>
  <xr:revisionPtr revIDLastSave="0" documentId="13_ncr:1_{52FA3A46-15D2-3B48-B97B-D7DF2EADC5D5}" xr6:coauthVersionLast="47" xr6:coauthVersionMax="47" xr10:uidLastSave="{00000000-0000-0000-0000-000000000000}"/>
  <bookViews>
    <workbookView xWindow="0" yWindow="500" windowWidth="42380" windowHeight="25280" activeTab="1" xr2:uid="{4D030D5F-AF46-EF49-94E6-2E427342BAB6}"/>
  </bookViews>
  <sheets>
    <sheet name="Optimistisch" sheetId="1" r:id="rId1"/>
    <sheet name="Pessimistisch" sheetId="2" r:id="rId2"/>
    <sheet name="Wachstum für Faire Bewertung" sheetId="3" r:id="rId3"/>
    <sheet name="DCF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B29" i="1" l="1"/>
  <c r="C33" i="1" l="1"/>
  <c r="C43" i="4" l="1"/>
  <c r="D43" i="4" s="1"/>
  <c r="B4" i="4"/>
  <c r="B21" i="4"/>
  <c r="C44" i="4"/>
  <c r="C41" i="4"/>
  <c r="B23" i="4"/>
  <c r="B17" i="4"/>
  <c r="C9" i="4"/>
  <c r="D9" i="4" s="1"/>
  <c r="E9" i="4" s="1"/>
  <c r="F9" i="4" s="1"/>
  <c r="G9" i="4" s="1"/>
  <c r="H9" i="4" s="1"/>
  <c r="I9" i="4" s="1"/>
  <c r="J9" i="4" s="1"/>
  <c r="K9" i="4" s="1"/>
  <c r="L9" i="4" s="1"/>
  <c r="M9" i="4" s="1"/>
  <c r="C10" i="4"/>
  <c r="C11" i="4" s="1"/>
  <c r="D10" i="4"/>
  <c r="D11" i="4" s="1"/>
  <c r="E10" i="4"/>
  <c r="E11" i="4" s="1"/>
  <c r="F10" i="4"/>
  <c r="G10" i="4"/>
  <c r="G11" i="4" s="1"/>
  <c r="F11" i="4"/>
  <c r="J10" i="4"/>
  <c r="J12" i="4" s="1"/>
  <c r="I10" i="4"/>
  <c r="I12" i="4" s="1"/>
  <c r="H10" i="4"/>
  <c r="H12" i="4" s="1"/>
  <c r="B6" i="4"/>
  <c r="B6" i="3"/>
  <c r="B6" i="2"/>
  <c r="B25" i="4" l="1"/>
  <c r="C42" i="4"/>
  <c r="B29" i="4" s="1"/>
  <c r="B19" i="4"/>
  <c r="B37" i="4" l="1"/>
  <c r="J13" i="4" l="1"/>
  <c r="I13" i="4"/>
  <c r="H13" i="4"/>
  <c r="A15" i="3"/>
  <c r="D48" i="2"/>
  <c r="D48" i="3"/>
  <c r="D44" i="3"/>
  <c r="H15" i="3"/>
  <c r="A14" i="3"/>
  <c r="K12" i="3"/>
  <c r="L12" i="3"/>
  <c r="M12" i="3"/>
  <c r="N12" i="3"/>
  <c r="O12" i="3"/>
  <c r="P12" i="3"/>
  <c r="Q12" i="3"/>
  <c r="R12" i="3"/>
  <c r="J11" i="3"/>
  <c r="K11" i="3"/>
  <c r="L11" i="3"/>
  <c r="M11" i="3"/>
  <c r="N11" i="3"/>
  <c r="O11" i="3"/>
  <c r="P11" i="3"/>
  <c r="Q11" i="3"/>
  <c r="I11" i="3"/>
  <c r="C34" i="3"/>
  <c r="C33" i="3"/>
  <c r="C32" i="3" s="1"/>
  <c r="C31" i="3"/>
  <c r="B27" i="3"/>
  <c r="B25" i="3"/>
  <c r="B21" i="3"/>
  <c r="G14" i="3"/>
  <c r="F14" i="3"/>
  <c r="E14" i="3"/>
  <c r="D14" i="3"/>
  <c r="C14" i="3"/>
  <c r="G13" i="3"/>
  <c r="F13" i="3"/>
  <c r="E13" i="3"/>
  <c r="D13" i="3"/>
  <c r="C13" i="3"/>
  <c r="C12" i="3" s="1"/>
  <c r="G10" i="3"/>
  <c r="H10" i="3" s="1"/>
  <c r="F10" i="3"/>
  <c r="G11" i="3" s="1"/>
  <c r="E10" i="3"/>
  <c r="D10" i="3"/>
  <c r="C10" i="3"/>
  <c r="C9" i="3"/>
  <c r="D9" i="3" s="1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B4" i="3"/>
  <c r="A42" i="2"/>
  <c r="B27" i="2"/>
  <c r="B25" i="2"/>
  <c r="B21" i="2"/>
  <c r="C34" i="2"/>
  <c r="C33" i="2"/>
  <c r="H15" i="2" s="1"/>
  <c r="C31" i="2"/>
  <c r="J14" i="2"/>
  <c r="I14" i="2"/>
  <c r="H14" i="2"/>
  <c r="I13" i="2"/>
  <c r="J13" i="2"/>
  <c r="H13" i="2"/>
  <c r="D13" i="2"/>
  <c r="E13" i="2"/>
  <c r="F13" i="2"/>
  <c r="G13" i="2"/>
  <c r="D14" i="2"/>
  <c r="E14" i="2"/>
  <c r="F14" i="2"/>
  <c r="G14" i="2"/>
  <c r="C14" i="2"/>
  <c r="C13" i="2"/>
  <c r="I10" i="2"/>
  <c r="J11" i="2" s="1"/>
  <c r="J10" i="2"/>
  <c r="H10" i="2"/>
  <c r="D10" i="2"/>
  <c r="D11" i="2" s="1"/>
  <c r="E10" i="2"/>
  <c r="E11" i="2" s="1"/>
  <c r="F10" i="2"/>
  <c r="G10" i="2"/>
  <c r="C10" i="2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N9" i="2" s="1"/>
  <c r="O9" i="2" s="1"/>
  <c r="P9" i="2" s="1"/>
  <c r="Q9" i="2" s="1"/>
  <c r="R9" i="2" s="1"/>
  <c r="B4" i="2"/>
  <c r="K10" i="2"/>
  <c r="K13" i="2" s="1"/>
  <c r="K14" i="2" s="1"/>
  <c r="D12" i="3" l="1"/>
  <c r="E12" i="3"/>
  <c r="I11" i="2"/>
  <c r="I12" i="2"/>
  <c r="E12" i="2"/>
  <c r="G12" i="3"/>
  <c r="C12" i="2"/>
  <c r="G11" i="2"/>
  <c r="D12" i="2"/>
  <c r="D11" i="3"/>
  <c r="J12" i="2"/>
  <c r="A40" i="2"/>
  <c r="F12" i="3"/>
  <c r="B29" i="3"/>
  <c r="I10" i="3"/>
  <c r="A42" i="3"/>
  <c r="A54" i="3"/>
  <c r="A40" i="3"/>
  <c r="A52" i="3"/>
  <c r="A50" i="3"/>
  <c r="R9" i="3"/>
  <c r="F11" i="3"/>
  <c r="I15" i="3"/>
  <c r="J15" i="3" s="1"/>
  <c r="B23" i="3"/>
  <c r="D33" i="3"/>
  <c r="E11" i="3"/>
  <c r="I15" i="2"/>
  <c r="I16" i="2" s="1"/>
  <c r="C32" i="2"/>
  <c r="B23" i="2"/>
  <c r="B29" i="2"/>
  <c r="J17" i="2" s="1"/>
  <c r="D33" i="2"/>
  <c r="H16" i="2"/>
  <c r="H12" i="2"/>
  <c r="F12" i="2"/>
  <c r="L10" i="2"/>
  <c r="M10" i="2" s="1"/>
  <c r="M13" i="2" s="1"/>
  <c r="M14" i="2" s="1"/>
  <c r="H11" i="2"/>
  <c r="G12" i="2"/>
  <c r="F11" i="2"/>
  <c r="A54" i="2"/>
  <c r="A52" i="2"/>
  <c r="A50" i="2"/>
  <c r="L13" i="2" l="1"/>
  <c r="L14" i="2" s="1"/>
  <c r="L17" i="2" s="1"/>
  <c r="N10" i="2"/>
  <c r="O10" i="2" s="1"/>
  <c r="J10" i="3"/>
  <c r="I17" i="2"/>
  <c r="H17" i="2"/>
  <c r="K17" i="2"/>
  <c r="K15" i="3"/>
  <c r="L15" i="3" s="1"/>
  <c r="M15" i="3" s="1"/>
  <c r="N15" i="3" s="1"/>
  <c r="O15" i="3" s="1"/>
  <c r="P15" i="3" s="1"/>
  <c r="Q15" i="3" s="1"/>
  <c r="J15" i="2"/>
  <c r="J16" i="2" s="1"/>
  <c r="M17" i="2"/>
  <c r="N13" i="2" l="1"/>
  <c r="N14" i="2" s="1"/>
  <c r="N17" i="2" s="1"/>
  <c r="K15" i="2"/>
  <c r="L15" i="2"/>
  <c r="K16" i="2"/>
  <c r="P10" i="2"/>
  <c r="O13" i="2"/>
  <c r="O14" i="2" s="1"/>
  <c r="P13" i="2" l="1"/>
  <c r="P14" i="2" s="1"/>
  <c r="Q10" i="2"/>
  <c r="M15" i="2"/>
  <c r="L16" i="2"/>
  <c r="O17" i="2"/>
  <c r="P17" i="2" l="1"/>
  <c r="N15" i="2"/>
  <c r="M16" i="2"/>
  <c r="Q13" i="2"/>
  <c r="Q14" i="2" s="1"/>
  <c r="R10" i="2"/>
  <c r="R13" i="2" s="1"/>
  <c r="R14" i="2" s="1"/>
  <c r="R17" i="2" s="1"/>
  <c r="Q17" i="2" l="1"/>
  <c r="D32" i="2" s="1"/>
  <c r="D34" i="2" s="1"/>
  <c r="O15" i="2"/>
  <c r="N16" i="2"/>
  <c r="D36" i="2" l="1"/>
  <c r="D35" i="2"/>
  <c r="P15" i="2"/>
  <c r="O16" i="2"/>
  <c r="Q15" i="2" l="1"/>
  <c r="Q16" i="2" s="1"/>
  <c r="P16" i="2"/>
  <c r="D42" i="2" l="1"/>
  <c r="D46" i="2"/>
  <c r="D50" i="2" l="1"/>
  <c r="D54" i="2" s="1"/>
  <c r="D52" i="2" l="1"/>
  <c r="C32" i="1"/>
  <c r="D33" i="1" l="1"/>
  <c r="H15" i="1"/>
  <c r="I15" i="1" s="1"/>
  <c r="B23" i="1"/>
  <c r="K10" i="1"/>
  <c r="D12" i="1"/>
  <c r="E12" i="1"/>
  <c r="F12" i="1"/>
  <c r="G12" i="1"/>
  <c r="H12" i="1"/>
  <c r="H12" i="3" s="1"/>
  <c r="H13" i="3" s="1"/>
  <c r="H14" i="3" s="1"/>
  <c r="I12" i="1"/>
  <c r="I12" i="3" s="1"/>
  <c r="I13" i="3" s="1"/>
  <c r="I14" i="3" s="1"/>
  <c r="J12" i="1"/>
  <c r="J12" i="3" s="1"/>
  <c r="J13" i="3" s="1"/>
  <c r="J14" i="3" s="1"/>
  <c r="C12" i="1"/>
  <c r="H11" i="1"/>
  <c r="I11" i="1"/>
  <c r="J11" i="1"/>
  <c r="E11" i="1"/>
  <c r="F11" i="1"/>
  <c r="G11" i="1"/>
  <c r="D11" i="1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l="1"/>
  <c r="A42" i="1"/>
  <c r="K13" i="1"/>
  <c r="K14" i="1" s="1"/>
  <c r="K17" i="1" s="1"/>
  <c r="K10" i="4"/>
  <c r="J16" i="3"/>
  <c r="J17" i="3"/>
  <c r="I16" i="3"/>
  <c r="I17" i="3"/>
  <c r="H16" i="3"/>
  <c r="H17" i="3"/>
  <c r="I16" i="1"/>
  <c r="J15" i="1"/>
  <c r="A40" i="1"/>
  <c r="H17" i="1"/>
  <c r="A50" i="1"/>
  <c r="I17" i="1"/>
  <c r="J17" i="1"/>
  <c r="A52" i="1"/>
  <c r="A54" i="1"/>
  <c r="L10" i="1"/>
  <c r="L10" i="4" s="1"/>
  <c r="K12" i="4" l="1"/>
  <c r="K13" i="4" s="1"/>
  <c r="L12" i="4"/>
  <c r="L13" i="4" s="1"/>
  <c r="K15" i="1"/>
  <c r="J16" i="1"/>
  <c r="M10" i="1"/>
  <c r="M10" i="4" s="1"/>
  <c r="M12" i="4" s="1"/>
  <c r="M13" i="4" s="1"/>
  <c r="L13" i="1"/>
  <c r="L14" i="1" s="1"/>
  <c r="D42" i="4" l="1"/>
  <c r="D44" i="4" s="1"/>
  <c r="D46" i="4" s="1"/>
  <c r="L15" i="1"/>
  <c r="M15" i="1" s="1"/>
  <c r="N15" i="1" s="1"/>
  <c r="O15" i="1" s="1"/>
  <c r="P15" i="1" s="1"/>
  <c r="Q15" i="1" s="1"/>
  <c r="K16" i="1"/>
  <c r="L17" i="1"/>
  <c r="N10" i="1"/>
  <c r="M13" i="1"/>
  <c r="M14" i="1" s="1"/>
  <c r="D45" i="4" l="1"/>
  <c r="L16" i="1"/>
  <c r="M16" i="1"/>
  <c r="M17" i="1"/>
  <c r="O10" i="1"/>
  <c r="N13" i="1"/>
  <c r="N14" i="1" s="1"/>
  <c r="N16" i="1" l="1"/>
  <c r="N17" i="1"/>
  <c r="P10" i="1"/>
  <c r="O13" i="1"/>
  <c r="O14" i="1" s="1"/>
  <c r="O16" i="1" l="1"/>
  <c r="O17" i="1"/>
  <c r="Q10" i="1"/>
  <c r="P13" i="1"/>
  <c r="P14" i="1" s="1"/>
  <c r="P16" i="1" l="1"/>
  <c r="P17" i="1"/>
  <c r="R10" i="1"/>
  <c r="R13" i="1" s="1"/>
  <c r="R14" i="1" s="1"/>
  <c r="R17" i="1" s="1"/>
  <c r="Q13" i="1"/>
  <c r="Q14" i="1" s="1"/>
  <c r="Q17" i="1" l="1"/>
  <c r="D32" i="1" s="1"/>
  <c r="D34" i="1" s="1"/>
  <c r="D35" i="1" s="1"/>
  <c r="Q16" i="1"/>
  <c r="D36" i="1" l="1"/>
  <c r="D42" i="1"/>
  <c r="D46" i="1"/>
  <c r="D50" i="1" l="1"/>
  <c r="D54" i="1" l="1"/>
  <c r="D52" i="1"/>
  <c r="K10" i="3" l="1"/>
  <c r="L10" i="3" s="1"/>
  <c r="K13" i="3"/>
  <c r="K14" i="3" s="1"/>
  <c r="K17" i="3" s="1"/>
  <c r="L13" i="3" l="1"/>
  <c r="L14" i="3" s="1"/>
  <c r="M10" i="3"/>
  <c r="K16" i="3"/>
  <c r="M13" i="3" l="1"/>
  <c r="M14" i="3" s="1"/>
  <c r="N10" i="3"/>
  <c r="L17" i="3"/>
  <c r="L16" i="3"/>
  <c r="N13" i="3" l="1"/>
  <c r="N14" i="3" s="1"/>
  <c r="O10" i="3"/>
  <c r="M16" i="3"/>
  <c r="M17" i="3"/>
  <c r="P10" i="3" l="1"/>
  <c r="O13" i="3"/>
  <c r="O14" i="3" s="1"/>
  <c r="N16" i="3"/>
  <c r="N17" i="3"/>
  <c r="O16" i="3" l="1"/>
  <c r="O17" i="3"/>
  <c r="P13" i="3"/>
  <c r="P14" i="3" s="1"/>
  <c r="Q10" i="3"/>
  <c r="Q13" i="3" l="1"/>
  <c r="Q14" i="3" s="1"/>
  <c r="R10" i="3"/>
  <c r="R13" i="3" s="1"/>
  <c r="R14" i="3" s="1"/>
  <c r="R17" i="3" s="1"/>
  <c r="P17" i="3"/>
  <c r="P16" i="3"/>
  <c r="Q16" i="3" l="1"/>
  <c r="Q17" i="3"/>
  <c r="D32" i="3" s="1"/>
  <c r="D34" i="3" s="1"/>
  <c r="D42" i="3" l="1"/>
  <c r="D46" i="3"/>
  <c r="D36" i="3"/>
  <c r="D35" i="3"/>
  <c r="D50" i="3" l="1"/>
  <c r="D52" i="3" l="1"/>
  <c r="D54" i="3"/>
</calcChain>
</file>

<file path=xl/sharedStrings.xml><?xml version="1.0" encoding="utf-8"?>
<sst xmlns="http://schemas.openxmlformats.org/spreadsheetml/2006/main" count="118" uniqueCount="41">
  <si>
    <t>Discounted Net-Profit Modell</t>
  </si>
  <si>
    <t>Alle Angaben in Mrd.</t>
  </si>
  <si>
    <t>Umsatz</t>
  </si>
  <si>
    <t>Umsatzwachstum</t>
  </si>
  <si>
    <t>EBIT Marge</t>
  </si>
  <si>
    <t>EBIT</t>
  </si>
  <si>
    <t>Gewinn (abzgl. Steuern, Zinsen)</t>
  </si>
  <si>
    <t>Anzahl an Aktien</t>
  </si>
  <si>
    <t>Gewinn je Aktie</t>
  </si>
  <si>
    <t>Schätzungen »</t>
  </si>
  <si>
    <t>-</t>
  </si>
  <si>
    <t>Risikoloser Basiszins:</t>
  </si>
  <si>
    <t>Risikoprämie:</t>
  </si>
  <si>
    <t>Marktrendite:</t>
  </si>
  <si>
    <t>Beta-Faktor:</t>
  </si>
  <si>
    <t>Eigenkapitalkosten:</t>
  </si>
  <si>
    <t>Fairer Wert</t>
  </si>
  <si>
    <t>Bewertung</t>
  </si>
  <si>
    <t>Marktkapitalisierung</t>
  </si>
  <si>
    <t>Kurs je Aktie</t>
  </si>
  <si>
    <t>Unterbewertung</t>
  </si>
  <si>
    <t>Überbewertung</t>
  </si>
  <si>
    <t>Abgezinster Gewinn</t>
  </si>
  <si>
    <t>Berechnung der Renditeerwartung:</t>
  </si>
  <si>
    <t>Berechnung der Eigenkapitalkosten:</t>
  </si>
  <si>
    <t>Durchschnittliche Ausschüttungsquote:</t>
  </si>
  <si>
    <t>Ausgeschüttete Gewinne:</t>
  </si>
  <si>
    <t>Quellensteuer</t>
  </si>
  <si>
    <t>Anzahl an Aktien (abzgl. Aktienrückkäufe)</t>
  </si>
  <si>
    <t>Discounted Cashflow Modell</t>
  </si>
  <si>
    <t>Free Cashflow Marge</t>
  </si>
  <si>
    <t>Free Cashflow</t>
  </si>
  <si>
    <t>Abgezinster Free Cashflow</t>
  </si>
  <si>
    <t>Berechnung der WACC:</t>
  </si>
  <si>
    <t>Zinsrate (durchschnittlich):</t>
  </si>
  <si>
    <t>Steuerrate (durchschnittlich):</t>
  </si>
  <si>
    <t>WACC:</t>
  </si>
  <si>
    <t>Wachstumsabschlag:</t>
  </si>
  <si>
    <t>Marktkapitalisierung:</t>
  </si>
  <si>
    <t>Annahmen für PepsiCo</t>
  </si>
  <si>
    <t>Verzinstes Fremdkapital: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</si>
</sst>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1" fillId="2" borderId="0" xfId="0" applyFont="1" applyFill="1"/>
    <xf numFmtId="2" fontId="0" fillId="0" borderId="0" xfId="0" applyNumberFormat="1"/>
    <xf numFmtId="10" fontId="0" fillId="0" borderId="0" xfId="0" applyNumberFormat="1"/>
    <xf numFmtId="0" fontId="0" fillId="3" borderId="0" xfId="0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0" fontId="0" fillId="3" borderId="0" xfId="0" applyNumberForma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0" fontId="0" fillId="0" borderId="5" xfId="0" applyNumberFormat="1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8" xfId="0" applyNumberFormat="1" applyBorder="1"/>
    <xf numFmtId="0" fontId="2" fillId="0" borderId="2" xfId="0" applyFont="1" applyBorder="1"/>
    <xf numFmtId="0" fontId="3" fillId="0" borderId="0" xfId="0" applyFont="1"/>
    <xf numFmtId="0" fontId="0" fillId="0" borderId="9" xfId="0" applyBorder="1"/>
    <xf numFmtId="0" fontId="0" fillId="0" borderId="10" xfId="0" applyBorder="1"/>
    <xf numFmtId="2" fontId="0" fillId="4" borderId="10" xfId="0" applyNumberFormat="1" applyFill="1" applyBorder="1"/>
    <xf numFmtId="0" fontId="0" fillId="4" borderId="0" xfId="0" applyFill="1"/>
    <xf numFmtId="0" fontId="2" fillId="0" borderId="1" xfId="0" applyFont="1" applyBorder="1"/>
    <xf numFmtId="2" fontId="0" fillId="4" borderId="11" xfId="0" applyNumberFormat="1" applyFill="1" applyBorder="1"/>
    <xf numFmtId="0" fontId="0" fillId="3" borderId="6" xfId="0" applyFill="1" applyBorder="1"/>
    <xf numFmtId="0" fontId="0" fillId="3" borderId="7" xfId="0" applyFill="1" applyBorder="1"/>
    <xf numFmtId="10" fontId="0" fillId="3" borderId="8" xfId="0" applyNumberFormat="1" applyFill="1" applyBorder="1"/>
    <xf numFmtId="1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2" fontId="0" fillId="4" borderId="0" xfId="0" applyNumberFormat="1" applyFill="1"/>
    <xf numFmtId="0" fontId="0" fillId="4" borderId="0" xfId="0" applyFill="1" applyAlignment="1">
      <alignment horizontal="right"/>
    </xf>
    <xf numFmtId="10" fontId="0" fillId="4" borderId="0" xfId="0" applyNumberFormat="1" applyFill="1"/>
    <xf numFmtId="3" fontId="4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C8DC1-CC71-A848-BEC7-DC901284256A}">
  <dimension ref="A2:R54"/>
  <sheetViews>
    <sheetView showGridLines="0" workbookViewId="0"/>
  </sheetViews>
  <sheetFormatPr baseColWidth="10" defaultRowHeight="16" x14ac:dyDescent="0.2"/>
  <cols>
    <col min="1" max="1" width="22.5" customWidth="1"/>
    <col min="2" max="2" width="35" customWidth="1"/>
    <col min="3" max="18" width="13.33203125" customWidth="1"/>
  </cols>
  <sheetData>
    <row r="2" spans="1:18" ht="26" x14ac:dyDescent="0.3">
      <c r="B2" s="20" t="s">
        <v>0</v>
      </c>
    </row>
    <row r="4" spans="1:18" x14ac:dyDescent="0.2">
      <c r="B4" t="s">
        <v>39</v>
      </c>
    </row>
    <row r="6" spans="1:18" x14ac:dyDescent="0.2">
      <c r="B6" t="s">
        <v>1</v>
      </c>
    </row>
    <row r="8" spans="1:18" x14ac:dyDescent="0.2">
      <c r="A8" s="2"/>
      <c r="B8" s="2"/>
      <c r="C8" s="2"/>
      <c r="D8" s="2"/>
      <c r="E8" s="2"/>
      <c r="F8" s="2"/>
      <c r="G8" s="2"/>
      <c r="H8" s="3" t="s">
        <v>9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">
      <c r="C9">
        <v>2018</v>
      </c>
      <c r="D9">
        <f>C9+1</f>
        <v>2019</v>
      </c>
      <c r="E9">
        <f t="shared" ref="E9:Q9" si="0">D9+1</f>
        <v>2020</v>
      </c>
      <c r="F9">
        <f t="shared" si="0"/>
        <v>2021</v>
      </c>
      <c r="G9">
        <f t="shared" si="0"/>
        <v>2022</v>
      </c>
      <c r="H9" s="6">
        <f t="shared" si="0"/>
        <v>2023</v>
      </c>
      <c r="I9" s="6">
        <f t="shared" si="0"/>
        <v>2024</v>
      </c>
      <c r="J9" s="6">
        <f t="shared" si="0"/>
        <v>2025</v>
      </c>
      <c r="K9" s="6">
        <f t="shared" si="0"/>
        <v>2026</v>
      </c>
      <c r="L9" s="6">
        <f t="shared" si="0"/>
        <v>2027</v>
      </c>
      <c r="M9" s="6">
        <f t="shared" si="0"/>
        <v>2028</v>
      </c>
      <c r="N9" s="6">
        <f t="shared" si="0"/>
        <v>2029</v>
      </c>
      <c r="O9" s="6">
        <f t="shared" si="0"/>
        <v>2030</v>
      </c>
      <c r="P9" s="6">
        <f t="shared" si="0"/>
        <v>2031</v>
      </c>
      <c r="Q9" s="6">
        <f t="shared" si="0"/>
        <v>2032</v>
      </c>
      <c r="R9" s="7" t="str">
        <f>Q9+1&amp;"ff."</f>
        <v>2033ff.</v>
      </c>
    </row>
    <row r="10" spans="1:18" x14ac:dyDescent="0.2">
      <c r="B10" t="s">
        <v>2</v>
      </c>
      <c r="C10" s="4">
        <v>64.661000000000001</v>
      </c>
      <c r="D10" s="4">
        <v>67.161000000000001</v>
      </c>
      <c r="E10" s="4">
        <v>70.372</v>
      </c>
      <c r="F10" s="4">
        <v>79.474000000000004</v>
      </c>
      <c r="G10" s="4">
        <v>86.391999999999996</v>
      </c>
      <c r="H10" s="8">
        <v>92.096000000000004</v>
      </c>
      <c r="I10" s="8">
        <v>96.301000000000002</v>
      </c>
      <c r="J10" s="8">
        <v>100.79300000000001</v>
      </c>
      <c r="K10" s="8">
        <f>J10*(1+K11)</f>
        <v>106.84058000000002</v>
      </c>
      <c r="L10" s="8">
        <f t="shared" ref="L10:R10" si="1">K10*(1+L11)</f>
        <v>113.25101480000002</v>
      </c>
      <c r="M10" s="8">
        <f t="shared" si="1"/>
        <v>119.47982061400002</v>
      </c>
      <c r="N10" s="8">
        <f t="shared" si="1"/>
        <v>126.05121074777001</v>
      </c>
      <c r="O10" s="8">
        <f t="shared" si="1"/>
        <v>132.35377128515853</v>
      </c>
      <c r="P10" s="8">
        <f t="shared" si="1"/>
        <v>138.30969099299065</v>
      </c>
      <c r="Q10" s="8">
        <f t="shared" si="1"/>
        <v>143.8420786327103</v>
      </c>
      <c r="R10" s="8">
        <f t="shared" si="1"/>
        <v>146.7189202053645</v>
      </c>
    </row>
    <row r="11" spans="1:18" x14ac:dyDescent="0.2">
      <c r="B11" t="s">
        <v>3</v>
      </c>
      <c r="C11" s="1" t="s">
        <v>10</v>
      </c>
      <c r="D11" s="5">
        <f>D10/C10-1</f>
        <v>3.8663181825211446E-2</v>
      </c>
      <c r="E11" s="5">
        <f t="shared" ref="E11:G11" si="2">E10/D10-1</f>
        <v>4.7810485251857493E-2</v>
      </c>
      <c r="F11" s="5">
        <f t="shared" si="2"/>
        <v>0.12934121525606779</v>
      </c>
      <c r="G11" s="5">
        <f t="shared" si="2"/>
        <v>8.7047336235750006E-2</v>
      </c>
      <c r="H11" s="9">
        <f t="shared" ref="H11" si="3">H10/G10-1</f>
        <v>6.6024631910362119E-2</v>
      </c>
      <c r="I11" s="9">
        <f t="shared" ref="I11" si="4">I10/H10-1</f>
        <v>4.5658877692842159E-2</v>
      </c>
      <c r="J11" s="9">
        <f t="shared" ref="J11" si="5">J10/I10-1</f>
        <v>4.6645413858630747E-2</v>
      </c>
      <c r="K11" s="9">
        <v>0.06</v>
      </c>
      <c r="L11" s="9">
        <v>0.06</v>
      </c>
      <c r="M11" s="9">
        <v>5.5E-2</v>
      </c>
      <c r="N11" s="9">
        <v>5.5E-2</v>
      </c>
      <c r="O11" s="9">
        <v>0.05</v>
      </c>
      <c r="P11" s="9">
        <v>4.4999999999999998E-2</v>
      </c>
      <c r="Q11" s="9">
        <v>0.04</v>
      </c>
      <c r="R11" s="9">
        <v>0.02</v>
      </c>
    </row>
    <row r="12" spans="1:18" x14ac:dyDescent="0.2">
      <c r="B12" t="s">
        <v>4</v>
      </c>
      <c r="C12" s="5">
        <f>C13/C10</f>
        <v>0.15635390730115525</v>
      </c>
      <c r="D12" s="5">
        <f t="shared" ref="D12:J12" si="6">D13/D10</f>
        <v>0.15322880838581915</v>
      </c>
      <c r="E12" s="5">
        <f t="shared" si="6"/>
        <v>0.14323878815437957</v>
      </c>
      <c r="F12" s="5">
        <f t="shared" si="6"/>
        <v>0.14044844854921107</v>
      </c>
      <c r="G12" s="5">
        <f t="shared" si="6"/>
        <v>0.13325307898879526</v>
      </c>
      <c r="H12" s="9">
        <f t="shared" si="6"/>
        <v>0.14939845378735234</v>
      </c>
      <c r="I12" s="9">
        <f t="shared" si="6"/>
        <v>0.15299944964226747</v>
      </c>
      <c r="J12" s="9">
        <f t="shared" si="6"/>
        <v>0.15730259045767067</v>
      </c>
      <c r="K12" s="9">
        <v>0.1575</v>
      </c>
      <c r="L12" s="9">
        <v>0.1575</v>
      </c>
      <c r="M12" s="9">
        <v>0.1575</v>
      </c>
      <c r="N12" s="9">
        <v>0.16</v>
      </c>
      <c r="O12" s="9">
        <v>0.16</v>
      </c>
      <c r="P12" s="9">
        <v>0.16250000000000001</v>
      </c>
      <c r="Q12" s="9">
        <v>0.16500000000000001</v>
      </c>
      <c r="R12" s="9">
        <v>0.16500000000000001</v>
      </c>
    </row>
    <row r="13" spans="1:18" x14ac:dyDescent="0.2">
      <c r="B13" t="s">
        <v>5</v>
      </c>
      <c r="C13" s="4">
        <v>10.11</v>
      </c>
      <c r="D13" s="4">
        <v>10.291</v>
      </c>
      <c r="E13" s="4">
        <v>10.08</v>
      </c>
      <c r="F13" s="4">
        <v>11.162000000000001</v>
      </c>
      <c r="G13" s="4">
        <v>11.512</v>
      </c>
      <c r="H13" s="8">
        <v>13.759</v>
      </c>
      <c r="I13" s="8">
        <v>14.734</v>
      </c>
      <c r="J13" s="8">
        <v>15.855</v>
      </c>
      <c r="K13" s="8">
        <f>K10*K12</f>
        <v>16.827391350000003</v>
      </c>
      <c r="L13" s="8">
        <f t="shared" ref="L13:R13" si="7">L10*L12</f>
        <v>17.837034831000004</v>
      </c>
      <c r="M13" s="8">
        <f t="shared" si="7"/>
        <v>18.818071746705002</v>
      </c>
      <c r="N13" s="8">
        <f t="shared" si="7"/>
        <v>20.168193719643202</v>
      </c>
      <c r="O13" s="8">
        <f t="shared" si="7"/>
        <v>21.176603405625364</v>
      </c>
      <c r="P13" s="8">
        <f t="shared" si="7"/>
        <v>22.475324786360982</v>
      </c>
      <c r="Q13" s="8">
        <f t="shared" si="7"/>
        <v>23.733942974397202</v>
      </c>
      <c r="R13" s="8">
        <f t="shared" si="7"/>
        <v>24.208621833885143</v>
      </c>
    </row>
    <row r="14" spans="1:18" x14ac:dyDescent="0.2">
      <c r="A14" s="9">
        <v>0.25</v>
      </c>
      <c r="B14" t="s">
        <v>6</v>
      </c>
      <c r="C14" s="4">
        <v>12.515000000000001</v>
      </c>
      <c r="D14" s="4">
        <v>7.3140000000000001</v>
      </c>
      <c r="E14" s="4">
        <v>7.12</v>
      </c>
      <c r="F14" s="4">
        <v>7.6180000000000003</v>
      </c>
      <c r="G14" s="4">
        <v>8.91</v>
      </c>
      <c r="H14" s="8">
        <v>10.435</v>
      </c>
      <c r="I14" s="8">
        <v>11.2</v>
      </c>
      <c r="J14" s="8">
        <v>12.074999999999999</v>
      </c>
      <c r="K14" s="8">
        <f>K13*(1-$A$14)</f>
        <v>12.620543512500003</v>
      </c>
      <c r="L14" s="8">
        <f t="shared" ref="L14:R14" si="8">L13*(1-$A$14)</f>
        <v>13.377776123250003</v>
      </c>
      <c r="M14" s="8">
        <f t="shared" si="8"/>
        <v>14.113553810028751</v>
      </c>
      <c r="N14" s="8">
        <f t="shared" si="8"/>
        <v>15.126145289732403</v>
      </c>
      <c r="O14" s="8">
        <f t="shared" si="8"/>
        <v>15.882452554219023</v>
      </c>
      <c r="P14" s="8">
        <f t="shared" si="8"/>
        <v>16.856493589770736</v>
      </c>
      <c r="Q14" s="8">
        <f t="shared" si="8"/>
        <v>17.800457230797903</v>
      </c>
      <c r="R14" s="8">
        <f t="shared" si="8"/>
        <v>18.156466375413856</v>
      </c>
    </row>
    <row r="15" spans="1:18" x14ac:dyDescent="0.2">
      <c r="A15" s="9">
        <v>0.99</v>
      </c>
      <c r="B15" t="s">
        <v>28</v>
      </c>
      <c r="H15" s="8">
        <f>C33</f>
        <v>1.374863961</v>
      </c>
      <c r="I15" s="8">
        <f>H15*$A$15</f>
        <v>1.36111532139</v>
      </c>
      <c r="J15" s="8">
        <f t="shared" ref="J15:Q15" si="9">I15*$A$15</f>
        <v>1.3475041681761</v>
      </c>
      <c r="K15" s="8">
        <f t="shared" si="9"/>
        <v>1.3340291264943389</v>
      </c>
      <c r="L15" s="8">
        <f t="shared" si="9"/>
        <v>1.3206888352293955</v>
      </c>
      <c r="M15" s="8">
        <f t="shared" si="9"/>
        <v>1.3074819468771015</v>
      </c>
      <c r="N15" s="8">
        <f t="shared" si="9"/>
        <v>1.2944071274083304</v>
      </c>
      <c r="O15" s="8">
        <f t="shared" si="9"/>
        <v>1.281463056134247</v>
      </c>
      <c r="P15" s="8">
        <f t="shared" si="9"/>
        <v>1.2686484255729045</v>
      </c>
      <c r="Q15" s="8">
        <f t="shared" si="9"/>
        <v>1.2559619413171754</v>
      </c>
      <c r="R15" s="7" t="s">
        <v>10</v>
      </c>
    </row>
    <row r="16" spans="1:18" x14ac:dyDescent="0.2">
      <c r="B16" t="s">
        <v>8</v>
      </c>
      <c r="H16" s="8">
        <f>H14/H15</f>
        <v>7.5898418287218457</v>
      </c>
      <c r="I16" s="8">
        <f t="shared" ref="I16:P16" si="10">I14/I15</f>
        <v>8.2285459754889256</v>
      </c>
      <c r="J16" s="8">
        <f t="shared" si="10"/>
        <v>8.9610112422464621</v>
      </c>
      <c r="K16" s="8">
        <f t="shared" si="10"/>
        <v>9.4604707362463714</v>
      </c>
      <c r="L16" s="8">
        <f t="shared" si="10"/>
        <v>10.129392909516318</v>
      </c>
      <c r="M16" s="8">
        <f t="shared" si="10"/>
        <v>10.794454060141126</v>
      </c>
      <c r="N16" s="8">
        <f t="shared" si="10"/>
        <v>11.6857710139607</v>
      </c>
      <c r="O16" s="8">
        <f t="shared" si="10"/>
        <v>12.393999560261349</v>
      </c>
      <c r="P16" s="8">
        <f t="shared" si="10"/>
        <v>13.286970014689903</v>
      </c>
      <c r="Q16" s="8">
        <f>Q14/Q15</f>
        <v>14.172768015669234</v>
      </c>
      <c r="R16" s="7" t="s">
        <v>10</v>
      </c>
    </row>
    <row r="17" spans="1:18" x14ac:dyDescent="0.2">
      <c r="F17" s="21" t="s">
        <v>22</v>
      </c>
      <c r="G17" s="22"/>
      <c r="H17" s="23">
        <f>H14/(1+$B$29)</f>
        <v>9.8259761709484437</v>
      </c>
      <c r="I17" s="23">
        <f>I14/(1+$B$29)^2</f>
        <v>9.9308067109020399</v>
      </c>
      <c r="J17" s="23">
        <f>J14/(1+$B$29)^3</f>
        <v>10.081772635472067</v>
      </c>
      <c r="K17" s="23">
        <f>K14/(1+$B$29)^4</f>
        <v>9.9222706987528611</v>
      </c>
      <c r="L17" s="23">
        <f>L14/(1+$B$29)^5</f>
        <v>9.9037618758509165</v>
      </c>
      <c r="M17" s="23">
        <f>M14/(1+$B$29)^6</f>
        <v>9.8386588639746986</v>
      </c>
      <c r="N17" s="23">
        <f>N14/(1+$B$29)^7</f>
        <v>9.9291264110824979</v>
      </c>
      <c r="O17" s="23">
        <f>O14/(1+$B$29)^8</f>
        <v>9.8171085279648356</v>
      </c>
      <c r="P17" s="23">
        <f>P14/(1+$B$29)^9</f>
        <v>9.8110732554597764</v>
      </c>
      <c r="Q17" s="23">
        <f>Q14/(1+$B$29)^10</f>
        <v>9.75581800217285</v>
      </c>
      <c r="R17" s="26">
        <f>(R14/(B29-R11))/(1+B29)^10</f>
        <v>237.03423839871138</v>
      </c>
    </row>
    <row r="19" spans="1:18" x14ac:dyDescent="0.2">
      <c r="A19" s="19" t="s">
        <v>24</v>
      </c>
      <c r="B19" s="11"/>
    </row>
    <row r="20" spans="1:18" x14ac:dyDescent="0.2">
      <c r="B20" s="13"/>
    </row>
    <row r="21" spans="1:18" x14ac:dyDescent="0.2">
      <c r="A21" t="s">
        <v>11</v>
      </c>
      <c r="B21" s="14">
        <v>4.5699999999999998E-2</v>
      </c>
    </row>
    <row r="22" spans="1:18" x14ac:dyDescent="0.2">
      <c r="B22" s="13"/>
    </row>
    <row r="23" spans="1:18" x14ac:dyDescent="0.2">
      <c r="A23" t="s">
        <v>12</v>
      </c>
      <c r="B23" s="14">
        <f>(B25-B21)*B27</f>
        <v>1.6281000000000007E-2</v>
      </c>
    </row>
    <row r="24" spans="1:18" x14ac:dyDescent="0.2">
      <c r="B24" s="13"/>
    </row>
    <row r="25" spans="1:18" x14ac:dyDescent="0.2">
      <c r="A25" t="s">
        <v>13</v>
      </c>
      <c r="B25" s="14">
        <v>7.0000000000000007E-2</v>
      </c>
      <c r="I25" s="35"/>
      <c r="J25" s="35"/>
      <c r="K25" s="35"/>
      <c r="L25" s="35"/>
      <c r="M25" s="35"/>
      <c r="N25" s="35"/>
      <c r="O25" s="35"/>
      <c r="P25" s="35"/>
    </row>
    <row r="26" spans="1:18" x14ac:dyDescent="0.2">
      <c r="B26" s="13"/>
      <c r="H26" s="35"/>
      <c r="I26" s="35"/>
      <c r="J26" s="35"/>
      <c r="K26" s="35"/>
      <c r="L26" s="35"/>
      <c r="M26" s="35"/>
      <c r="N26" s="35"/>
      <c r="O26" s="35"/>
      <c r="P26" s="35"/>
    </row>
    <row r="27" spans="1:18" x14ac:dyDescent="0.2">
      <c r="A27" t="s">
        <v>14</v>
      </c>
      <c r="B27" s="15">
        <v>0.67</v>
      </c>
    </row>
    <row r="28" spans="1:18" x14ac:dyDescent="0.2">
      <c r="B28" s="13"/>
    </row>
    <row r="29" spans="1:18" x14ac:dyDescent="0.2">
      <c r="A29" s="17" t="s">
        <v>15</v>
      </c>
      <c r="B29" s="18">
        <f>B21+(B25-B21)*B27</f>
        <v>6.1981000000000008E-2</v>
      </c>
    </row>
    <row r="31" spans="1:18" x14ac:dyDescent="0.2">
      <c r="A31" s="2"/>
      <c r="B31" s="2"/>
      <c r="C31" s="30">
        <v>45233</v>
      </c>
      <c r="D31" s="31" t="s">
        <v>16</v>
      </c>
      <c r="E31" s="24"/>
    </row>
    <row r="32" spans="1:18" x14ac:dyDescent="0.2">
      <c r="A32" s="6" t="s">
        <v>17</v>
      </c>
      <c r="B32" s="6" t="s">
        <v>18</v>
      </c>
      <c r="C32" s="8">
        <f>C33*C34</f>
        <v>229.31356005518998</v>
      </c>
      <c r="D32" s="8">
        <f>SUM(H17:R17)</f>
        <v>335.85061155129233</v>
      </c>
      <c r="E32" s="24"/>
    </row>
    <row r="33" spans="1:5" x14ac:dyDescent="0.2">
      <c r="A33" s="6"/>
      <c r="B33" s="6" t="s">
        <v>7</v>
      </c>
      <c r="C33" s="8">
        <f>1.374863961</f>
        <v>1.374863961</v>
      </c>
      <c r="D33" s="8">
        <f>C33</f>
        <v>1.374863961</v>
      </c>
      <c r="E33" s="24"/>
    </row>
    <row r="34" spans="1:5" x14ac:dyDescent="0.2">
      <c r="A34" s="6"/>
      <c r="B34" s="6" t="s">
        <v>19</v>
      </c>
      <c r="C34" s="8">
        <v>166.79</v>
      </c>
      <c r="D34" s="8">
        <f>D32/D33</f>
        <v>244.27915857726984</v>
      </c>
      <c r="E34" s="24"/>
    </row>
    <row r="35" spans="1:5" x14ac:dyDescent="0.2">
      <c r="A35" s="6"/>
      <c r="B35" s="6" t="s">
        <v>20</v>
      </c>
      <c r="C35" s="6"/>
      <c r="D35" s="9">
        <f>IF(C34/D34-1&gt;0,0,C34/D34-1)*-1</f>
        <v>0.31721559476699546</v>
      </c>
      <c r="E35" s="24"/>
    </row>
    <row r="36" spans="1:5" x14ac:dyDescent="0.2">
      <c r="A36" s="6"/>
      <c r="B36" s="6" t="s">
        <v>21</v>
      </c>
      <c r="C36" s="6"/>
      <c r="D36" s="9">
        <f>IF(C34/D34-1&lt;0,0,C34/D34-1)</f>
        <v>0</v>
      </c>
      <c r="E36" s="24"/>
    </row>
    <row r="37" spans="1:5" x14ac:dyDescent="0.2">
      <c r="A37" s="24"/>
      <c r="B37" s="24"/>
      <c r="C37" s="24"/>
      <c r="D37" s="24"/>
      <c r="E37" s="24"/>
    </row>
    <row r="38" spans="1:5" x14ac:dyDescent="0.2">
      <c r="A38" s="25" t="s">
        <v>23</v>
      </c>
      <c r="B38" s="10"/>
      <c r="C38" s="10"/>
      <c r="D38" s="11"/>
      <c r="E38" s="24"/>
    </row>
    <row r="39" spans="1:5" x14ac:dyDescent="0.2">
      <c r="A39" s="12"/>
      <c r="D39" s="13"/>
    </row>
    <row r="40" spans="1:5" x14ac:dyDescent="0.2">
      <c r="A40" s="12" t="str">
        <f>"KGV in "&amp;Q9&amp;":"</f>
        <v>KGV in 2032:</v>
      </c>
      <c r="D40" s="15">
        <v>23</v>
      </c>
    </row>
    <row r="41" spans="1:5" x14ac:dyDescent="0.2">
      <c r="A41" s="12"/>
      <c r="D41" s="13"/>
    </row>
    <row r="42" spans="1:5" x14ac:dyDescent="0.2">
      <c r="A42" s="12" t="str">
        <f>"Aktienkurs in "&amp;Q9&amp;":"</f>
        <v>Aktienkurs in 2032:</v>
      </c>
      <c r="D42" s="15">
        <f>Q16*D40</f>
        <v>325.97366436039238</v>
      </c>
    </row>
    <row r="43" spans="1:5" x14ac:dyDescent="0.2">
      <c r="A43" s="12"/>
      <c r="D43" s="13"/>
    </row>
    <row r="44" spans="1:5" x14ac:dyDescent="0.2">
      <c r="A44" s="12" t="s">
        <v>25</v>
      </c>
      <c r="D44" s="14">
        <v>0.75</v>
      </c>
    </row>
    <row r="45" spans="1:5" x14ac:dyDescent="0.2">
      <c r="A45" s="12"/>
      <c r="D45" s="13"/>
    </row>
    <row r="46" spans="1:5" x14ac:dyDescent="0.2">
      <c r="A46" s="12" t="s">
        <v>26</v>
      </c>
      <c r="D46" s="15">
        <f>D44*SUM(H16:Q16)</f>
        <v>80.027419017706677</v>
      </c>
    </row>
    <row r="47" spans="1:5" x14ac:dyDescent="0.2">
      <c r="A47" s="12"/>
      <c r="D47" s="13"/>
    </row>
    <row r="48" spans="1:5" x14ac:dyDescent="0.2">
      <c r="A48" s="12" t="s">
        <v>27</v>
      </c>
      <c r="D48" s="14">
        <v>0.15</v>
      </c>
    </row>
    <row r="49" spans="1:4" x14ac:dyDescent="0.2">
      <c r="A49" s="12"/>
      <c r="D49" s="13"/>
    </row>
    <row r="50" spans="1:4" x14ac:dyDescent="0.2">
      <c r="A50" s="12" t="str">
        <f>"Gesamtwert "&amp;Q9</f>
        <v>Gesamtwert 2032</v>
      </c>
      <c r="D50" s="15">
        <f>D42+D46*(1-D48)</f>
        <v>393.99697052544303</v>
      </c>
    </row>
    <row r="51" spans="1:4" x14ac:dyDescent="0.2">
      <c r="A51" s="12"/>
      <c r="D51" s="13"/>
    </row>
    <row r="52" spans="1:4" x14ac:dyDescent="0.2">
      <c r="A52" s="12" t="str">
        <f>"Steigerung bis "&amp;Q9</f>
        <v>Steigerung bis 2032</v>
      </c>
      <c r="D52" s="14">
        <f>D50/C34-1</f>
        <v>1.3622337701627378</v>
      </c>
    </row>
    <row r="53" spans="1:4" x14ac:dyDescent="0.2">
      <c r="A53" s="12"/>
      <c r="D53" s="13"/>
    </row>
    <row r="54" spans="1:4" x14ac:dyDescent="0.2">
      <c r="A54" s="27" t="str">
        <f>"Renditeerwartung bis "&amp;Q9&amp;" pro Jahr"</f>
        <v>Renditeerwartung bis 2032 pro Jahr</v>
      </c>
      <c r="B54" s="28"/>
      <c r="C54" s="28"/>
      <c r="D54" s="29">
        <f>(D50/C34)^(1/10)-1</f>
        <v>8.9763574315010475E-2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233D2-1A79-F24B-87BC-A444AEB36AB7}">
  <dimension ref="A2:R54"/>
  <sheetViews>
    <sheetView showGridLines="0" tabSelected="1" workbookViewId="0"/>
  </sheetViews>
  <sheetFormatPr baseColWidth="10" defaultRowHeight="16" x14ac:dyDescent="0.2"/>
  <cols>
    <col min="1" max="1" width="22.5" customWidth="1"/>
    <col min="2" max="2" width="35" customWidth="1"/>
    <col min="3" max="18" width="13.33203125" customWidth="1"/>
  </cols>
  <sheetData>
    <row r="2" spans="1:18" ht="26" x14ac:dyDescent="0.3">
      <c r="B2" s="20" t="s">
        <v>0</v>
      </c>
    </row>
    <row r="4" spans="1:18" x14ac:dyDescent="0.2">
      <c r="B4" t="str">
        <f>Optimistisch!B4</f>
        <v>Annahmen für PepsiCo</v>
      </c>
    </row>
    <row r="6" spans="1:18" x14ac:dyDescent="0.2">
      <c r="B6" t="str">
        <f>Optimistisch!B6</f>
        <v>Alle Angaben in Mrd.</v>
      </c>
    </row>
    <row r="8" spans="1:18" x14ac:dyDescent="0.2">
      <c r="A8" s="2"/>
      <c r="B8" s="2"/>
      <c r="C8" s="2"/>
      <c r="D8" s="2"/>
      <c r="E8" s="2"/>
      <c r="F8" s="2"/>
      <c r="G8" s="2"/>
      <c r="H8" s="3" t="s">
        <v>9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">
      <c r="C9">
        <f>Optimistisch!C9</f>
        <v>2018</v>
      </c>
      <c r="D9">
        <f>C9+1</f>
        <v>2019</v>
      </c>
      <c r="E9">
        <f t="shared" ref="E9:Q9" si="0">D9+1</f>
        <v>2020</v>
      </c>
      <c r="F9">
        <f t="shared" si="0"/>
        <v>2021</v>
      </c>
      <c r="G9">
        <f t="shared" si="0"/>
        <v>2022</v>
      </c>
      <c r="H9" s="6">
        <f t="shared" si="0"/>
        <v>2023</v>
      </c>
      <c r="I9" s="6">
        <f t="shared" si="0"/>
        <v>2024</v>
      </c>
      <c r="J9" s="6">
        <f t="shared" si="0"/>
        <v>2025</v>
      </c>
      <c r="K9" s="6">
        <f t="shared" si="0"/>
        <v>2026</v>
      </c>
      <c r="L9" s="6">
        <f t="shared" si="0"/>
        <v>2027</v>
      </c>
      <c r="M9" s="6">
        <f t="shared" si="0"/>
        <v>2028</v>
      </c>
      <c r="N9" s="6">
        <f t="shared" si="0"/>
        <v>2029</v>
      </c>
      <c r="O9" s="6">
        <f t="shared" si="0"/>
        <v>2030</v>
      </c>
      <c r="P9" s="6">
        <f t="shared" si="0"/>
        <v>2031</v>
      </c>
      <c r="Q9" s="6">
        <f t="shared" si="0"/>
        <v>2032</v>
      </c>
      <c r="R9" s="7" t="str">
        <f>Q9+1&amp;"ff."</f>
        <v>2033ff.</v>
      </c>
    </row>
    <row r="10" spans="1:18" x14ac:dyDescent="0.2">
      <c r="B10" t="s">
        <v>2</v>
      </c>
      <c r="C10" s="4">
        <f>Optimistisch!C10</f>
        <v>64.661000000000001</v>
      </c>
      <c r="D10" s="4">
        <f>Optimistisch!D10</f>
        <v>67.161000000000001</v>
      </c>
      <c r="E10" s="4">
        <f>Optimistisch!E10</f>
        <v>70.372</v>
      </c>
      <c r="F10" s="4">
        <f>Optimistisch!F10</f>
        <v>79.474000000000004</v>
      </c>
      <c r="G10" s="4">
        <f>Optimistisch!G10</f>
        <v>86.391999999999996</v>
      </c>
      <c r="H10" s="8">
        <f>Optimistisch!H10</f>
        <v>92.096000000000004</v>
      </c>
      <c r="I10" s="8">
        <f>Optimistisch!I10</f>
        <v>96.301000000000002</v>
      </c>
      <c r="J10" s="8">
        <f>Optimistisch!J10</f>
        <v>100.79300000000001</v>
      </c>
      <c r="K10" s="8">
        <f>J10*(1+K11)</f>
        <v>105.32868499999999</v>
      </c>
      <c r="L10" s="8">
        <f t="shared" ref="L10:R10" si="1">K10*(1+L11)</f>
        <v>109.80515411249999</v>
      </c>
      <c r="M10" s="8">
        <f t="shared" si="1"/>
        <v>114.197360277</v>
      </c>
      <c r="N10" s="8">
        <f t="shared" si="1"/>
        <v>118.76525468808001</v>
      </c>
      <c r="O10" s="8">
        <f t="shared" si="1"/>
        <v>122.9220386021628</v>
      </c>
      <c r="P10" s="8">
        <f t="shared" si="1"/>
        <v>127.22430995323849</v>
      </c>
      <c r="Q10" s="8">
        <f t="shared" si="1"/>
        <v>131.04103925183566</v>
      </c>
      <c r="R10" s="8">
        <f t="shared" si="1"/>
        <v>133.00665484061318</v>
      </c>
    </row>
    <row r="11" spans="1:18" x14ac:dyDescent="0.2">
      <c r="B11" t="s">
        <v>3</v>
      </c>
      <c r="C11" s="1" t="s">
        <v>10</v>
      </c>
      <c r="D11" s="5">
        <f>D10/C10-1</f>
        <v>3.8663181825211446E-2</v>
      </c>
      <c r="E11" s="5">
        <f t="shared" ref="E11:J11" si="2">E10/D10-1</f>
        <v>4.7810485251857493E-2</v>
      </c>
      <c r="F11" s="5">
        <f t="shared" si="2"/>
        <v>0.12934121525606779</v>
      </c>
      <c r="G11" s="5">
        <f>G10/F10-1</f>
        <v>8.7047336235750006E-2</v>
      </c>
      <c r="H11" s="9">
        <f t="shared" si="2"/>
        <v>6.6024631910362119E-2</v>
      </c>
      <c r="I11" s="9">
        <f t="shared" si="2"/>
        <v>4.5658877692842159E-2</v>
      </c>
      <c r="J11" s="9">
        <f t="shared" si="2"/>
        <v>4.6645413858630747E-2</v>
      </c>
      <c r="K11" s="9">
        <v>4.4999999999999998E-2</v>
      </c>
      <c r="L11" s="9">
        <v>4.2500000000000003E-2</v>
      </c>
      <c r="M11" s="9">
        <v>0.04</v>
      </c>
      <c r="N11" s="9">
        <v>0.04</v>
      </c>
      <c r="O11" s="9">
        <v>3.5000000000000003E-2</v>
      </c>
      <c r="P11" s="9">
        <v>3.5000000000000003E-2</v>
      </c>
      <c r="Q11" s="9">
        <v>0.03</v>
      </c>
      <c r="R11" s="9">
        <v>1.4999999999999999E-2</v>
      </c>
    </row>
    <row r="12" spans="1:18" x14ac:dyDescent="0.2">
      <c r="B12" t="s">
        <v>4</v>
      </c>
      <c r="C12" s="5">
        <f>C13/C10</f>
        <v>0.15635390730115525</v>
      </c>
      <c r="D12" s="5">
        <f t="shared" ref="D12:J12" si="3">D13/D10</f>
        <v>0.15322880838581915</v>
      </c>
      <c r="E12" s="5">
        <f t="shared" si="3"/>
        <v>0.14323878815437957</v>
      </c>
      <c r="F12" s="5">
        <f t="shared" si="3"/>
        <v>0.14044844854921107</v>
      </c>
      <c r="G12" s="5">
        <f t="shared" si="3"/>
        <v>0.13325307898879526</v>
      </c>
      <c r="H12" s="9">
        <f t="shared" si="3"/>
        <v>0.14939845378735234</v>
      </c>
      <c r="I12" s="9">
        <f t="shared" si="3"/>
        <v>0.15299944964226747</v>
      </c>
      <c r="J12" s="9">
        <f t="shared" si="3"/>
        <v>0.15730259045767067</v>
      </c>
      <c r="K12" s="9">
        <v>0.15</v>
      </c>
      <c r="L12" s="9">
        <v>0.14749999999999999</v>
      </c>
      <c r="M12" s="9">
        <v>0.14499999999999999</v>
      </c>
      <c r="N12" s="9">
        <v>0.1</v>
      </c>
      <c r="O12" s="9">
        <v>0.14249999999999999</v>
      </c>
      <c r="P12" s="9">
        <v>0.14000000000000001</v>
      </c>
      <c r="Q12" s="9">
        <v>0.13750000000000001</v>
      </c>
      <c r="R12" s="9">
        <v>0.13500000000000001</v>
      </c>
    </row>
    <row r="13" spans="1:18" x14ac:dyDescent="0.2">
      <c r="B13" t="s">
        <v>5</v>
      </c>
      <c r="C13" s="4">
        <f>Optimistisch!C13</f>
        <v>10.11</v>
      </c>
      <c r="D13" s="4">
        <f>Optimistisch!D13</f>
        <v>10.291</v>
      </c>
      <c r="E13" s="4">
        <f>Optimistisch!E13</f>
        <v>10.08</v>
      </c>
      <c r="F13" s="4">
        <f>Optimistisch!F13</f>
        <v>11.162000000000001</v>
      </c>
      <c r="G13" s="4">
        <f>Optimistisch!G13</f>
        <v>11.512</v>
      </c>
      <c r="H13" s="8">
        <f>Optimistisch!H13</f>
        <v>13.759</v>
      </c>
      <c r="I13" s="8">
        <f>Optimistisch!I13</f>
        <v>14.734</v>
      </c>
      <c r="J13" s="8">
        <f>Optimistisch!J13</f>
        <v>15.855</v>
      </c>
      <c r="K13" s="8">
        <f>K10*K12</f>
        <v>15.799302749999999</v>
      </c>
      <c r="L13" s="8">
        <f t="shared" ref="L13:R13" si="4">L10*L12</f>
        <v>16.196260231593747</v>
      </c>
      <c r="M13" s="8">
        <f t="shared" si="4"/>
        <v>16.558617240164999</v>
      </c>
      <c r="N13" s="8">
        <f t="shared" si="4"/>
        <v>11.876525468808001</v>
      </c>
      <c r="O13" s="8">
        <f t="shared" si="4"/>
        <v>17.516390500808196</v>
      </c>
      <c r="P13" s="8">
        <f t="shared" si="4"/>
        <v>17.811403393453389</v>
      </c>
      <c r="Q13" s="8">
        <f t="shared" si="4"/>
        <v>18.018142897127404</v>
      </c>
      <c r="R13" s="8">
        <f t="shared" si="4"/>
        <v>17.955898403482781</v>
      </c>
    </row>
    <row r="14" spans="1:18" x14ac:dyDescent="0.2">
      <c r="A14" s="9">
        <v>0.3</v>
      </c>
      <c r="B14" t="s">
        <v>6</v>
      </c>
      <c r="C14" s="4">
        <f>Optimistisch!C14</f>
        <v>12.515000000000001</v>
      </c>
      <c r="D14" s="4">
        <f>Optimistisch!D14</f>
        <v>7.3140000000000001</v>
      </c>
      <c r="E14" s="4">
        <f>Optimistisch!E14</f>
        <v>7.12</v>
      </c>
      <c r="F14" s="4">
        <f>Optimistisch!F14</f>
        <v>7.6180000000000003</v>
      </c>
      <c r="G14" s="4">
        <f>Optimistisch!G14</f>
        <v>8.91</v>
      </c>
      <c r="H14" s="8">
        <f>Optimistisch!H14</f>
        <v>10.435</v>
      </c>
      <c r="I14" s="8">
        <f>Optimistisch!I14</f>
        <v>11.2</v>
      </c>
      <c r="J14" s="8">
        <f>Optimistisch!J14</f>
        <v>12.074999999999999</v>
      </c>
      <c r="K14" s="8">
        <f>K13*(1-$A$14)</f>
        <v>11.059511924999999</v>
      </c>
      <c r="L14" s="8">
        <f t="shared" ref="L14:R14" si="5">L13*(1-$A$14)</f>
        <v>11.337382162115622</v>
      </c>
      <c r="M14" s="8">
        <f t="shared" si="5"/>
        <v>11.591032068115499</v>
      </c>
      <c r="N14" s="8">
        <f t="shared" si="5"/>
        <v>8.3135678281656009</v>
      </c>
      <c r="O14" s="8">
        <f t="shared" si="5"/>
        <v>12.261473350565737</v>
      </c>
      <c r="P14" s="8">
        <f t="shared" si="5"/>
        <v>12.467982375417371</v>
      </c>
      <c r="Q14" s="8">
        <f t="shared" si="5"/>
        <v>12.612700027989183</v>
      </c>
      <c r="R14" s="8">
        <f t="shared" si="5"/>
        <v>12.569128882437946</v>
      </c>
    </row>
    <row r="15" spans="1:18" x14ac:dyDescent="0.2">
      <c r="A15" s="9">
        <v>0.995</v>
      </c>
      <c r="B15" t="s">
        <v>28</v>
      </c>
      <c r="H15" s="8">
        <f>C33</f>
        <v>1.374863961</v>
      </c>
      <c r="I15" s="8">
        <f>H15*$A$15</f>
        <v>1.3679896411949999</v>
      </c>
      <c r="J15" s="8">
        <f t="shared" ref="J15:Q15" si="6">I15*$A$15</f>
        <v>1.3611496929890248</v>
      </c>
      <c r="K15" s="8">
        <f t="shared" si="6"/>
        <v>1.3543439445240797</v>
      </c>
      <c r="L15" s="8">
        <f t="shared" si="6"/>
        <v>1.3475722248014592</v>
      </c>
      <c r="M15" s="8">
        <f t="shared" si="6"/>
        <v>1.340834363677452</v>
      </c>
      <c r="N15" s="8">
        <f t="shared" si="6"/>
        <v>1.3341301918590647</v>
      </c>
      <c r="O15" s="8">
        <f t="shared" si="6"/>
        <v>1.3274595408997694</v>
      </c>
      <c r="P15" s="8">
        <f t="shared" si="6"/>
        <v>1.3208222431952705</v>
      </c>
      <c r="Q15" s="8">
        <f t="shared" si="6"/>
        <v>1.3142181319792943</v>
      </c>
      <c r="R15" s="7" t="s">
        <v>10</v>
      </c>
    </row>
    <row r="16" spans="1:18" x14ac:dyDescent="0.2">
      <c r="B16" t="s">
        <v>8</v>
      </c>
      <c r="H16" s="8">
        <f>H14/H15</f>
        <v>7.5898418287218457</v>
      </c>
      <c r="I16" s="8">
        <f t="shared" ref="I16:P16" si="7">I14/I15</f>
        <v>8.1871964982251626</v>
      </c>
      <c r="J16" s="8">
        <f t="shared" si="7"/>
        <v>8.8711771102000032</v>
      </c>
      <c r="K16" s="8">
        <f t="shared" si="7"/>
        <v>8.1659551620665631</v>
      </c>
      <c r="L16" s="8">
        <f t="shared" si="7"/>
        <v>8.4131907392095311</v>
      </c>
      <c r="M16" s="8">
        <f t="shared" si="7"/>
        <v>8.6446412637615033</v>
      </c>
      <c r="N16" s="8">
        <f t="shared" si="7"/>
        <v>6.2314516820737929</v>
      </c>
      <c r="O16" s="8">
        <f t="shared" si="7"/>
        <v>9.2367962810036008</v>
      </c>
      <c r="P16" s="8">
        <f t="shared" si="7"/>
        <v>9.4395611821734757</v>
      </c>
      <c r="Q16" s="8">
        <f>Q14/Q15</f>
        <v>9.5971130827373923</v>
      </c>
      <c r="R16" s="7" t="s">
        <v>10</v>
      </c>
    </row>
    <row r="17" spans="1:18" x14ac:dyDescent="0.2">
      <c r="F17" s="21" t="s">
        <v>22</v>
      </c>
      <c r="G17" s="22"/>
      <c r="H17" s="23">
        <f>H14/(1+$B$29)</f>
        <v>9.8259761709484437</v>
      </c>
      <c r="I17" s="23">
        <f>I14/(1+$B$29)^2</f>
        <v>9.9308067109020399</v>
      </c>
      <c r="J17" s="23">
        <f>J14/(1+$B$29)^3</f>
        <v>10.081772635472067</v>
      </c>
      <c r="K17" s="23">
        <f>K14/(1+$B$29)^4</f>
        <v>8.6949877402069067</v>
      </c>
      <c r="L17" s="23">
        <f>L14/(1+$B$29)^5</f>
        <v>8.3932286050123341</v>
      </c>
      <c r="M17" s="23">
        <f>M14/(1+$B$29)^6</f>
        <v>8.080190994740482</v>
      </c>
      <c r="N17" s="23">
        <f>N14/(1+$B$29)^7</f>
        <v>5.457204351263055</v>
      </c>
      <c r="O17" s="23">
        <f>O14/(1+$B$29)^8</f>
        <v>7.5789437547085079</v>
      </c>
      <c r="P17" s="23">
        <f>P14/(1+$B$29)^9</f>
        <v>7.2568050871050067</v>
      </c>
      <c r="Q17" s="23">
        <f>Q14/(1+$B$29)^10</f>
        <v>6.9125868169369094</v>
      </c>
      <c r="R17" s="26">
        <f>(R14/(B29-R11))/(1+B29)^10</f>
        <v>146.62750838784419</v>
      </c>
    </row>
    <row r="19" spans="1:18" x14ac:dyDescent="0.2">
      <c r="A19" s="19" t="s">
        <v>24</v>
      </c>
      <c r="B19" s="11"/>
    </row>
    <row r="20" spans="1:18" x14ac:dyDescent="0.2">
      <c r="B20" s="13"/>
    </row>
    <row r="21" spans="1:18" x14ac:dyDescent="0.2">
      <c r="A21" t="s">
        <v>11</v>
      </c>
      <c r="B21" s="14">
        <f>Optimistisch!B21</f>
        <v>4.5699999999999998E-2</v>
      </c>
    </row>
    <row r="22" spans="1:18" x14ac:dyDescent="0.2">
      <c r="B22" s="13"/>
    </row>
    <row r="23" spans="1:18" x14ac:dyDescent="0.2">
      <c r="A23" t="s">
        <v>12</v>
      </c>
      <c r="B23" s="14">
        <f>(B25-B21)*B27</f>
        <v>1.6281000000000007E-2</v>
      </c>
    </row>
    <row r="24" spans="1:18" x14ac:dyDescent="0.2">
      <c r="B24" s="13"/>
    </row>
    <row r="25" spans="1:18" x14ac:dyDescent="0.2">
      <c r="A25" t="s">
        <v>13</v>
      </c>
      <c r="B25" s="14">
        <f>Optimistisch!B25</f>
        <v>7.0000000000000007E-2</v>
      </c>
    </row>
    <row r="26" spans="1:18" x14ac:dyDescent="0.2">
      <c r="B26" s="13"/>
    </row>
    <row r="27" spans="1:18" x14ac:dyDescent="0.2">
      <c r="A27" t="s">
        <v>14</v>
      </c>
      <c r="B27" s="15">
        <f>Optimistisch!B27</f>
        <v>0.67</v>
      </c>
    </row>
    <row r="28" spans="1:18" x14ac:dyDescent="0.2">
      <c r="B28" s="13"/>
    </row>
    <row r="29" spans="1:18" x14ac:dyDescent="0.2">
      <c r="A29" s="17" t="s">
        <v>15</v>
      </c>
      <c r="B29" s="18">
        <f>B21+(B25-B21)*B27</f>
        <v>6.1981000000000008E-2</v>
      </c>
    </row>
    <row r="31" spans="1:18" x14ac:dyDescent="0.2">
      <c r="A31" s="2"/>
      <c r="B31" s="2"/>
      <c r="C31" s="30">
        <f>Optimistisch!C31</f>
        <v>45233</v>
      </c>
      <c r="D31" s="31" t="s">
        <v>16</v>
      </c>
      <c r="E31" s="24"/>
    </row>
    <row r="32" spans="1:18" x14ac:dyDescent="0.2">
      <c r="A32" s="6" t="s">
        <v>17</v>
      </c>
      <c r="B32" s="6" t="s">
        <v>18</v>
      </c>
      <c r="C32" s="8">
        <f>C33*C34</f>
        <v>229.31356005518998</v>
      </c>
      <c r="D32" s="8">
        <f>SUM(H17:R17)</f>
        <v>228.84001125513993</v>
      </c>
      <c r="E32" s="24"/>
    </row>
    <row r="33" spans="1:5" x14ac:dyDescent="0.2">
      <c r="A33" s="6"/>
      <c r="B33" s="6" t="s">
        <v>7</v>
      </c>
      <c r="C33" s="8">
        <f>Optimistisch!C33</f>
        <v>1.374863961</v>
      </c>
      <c r="D33" s="8">
        <f>C33</f>
        <v>1.374863961</v>
      </c>
      <c r="E33" s="24"/>
    </row>
    <row r="34" spans="1:5" x14ac:dyDescent="0.2">
      <c r="A34" s="6"/>
      <c r="B34" s="6" t="s">
        <v>19</v>
      </c>
      <c r="C34" s="8">
        <f>Optimistisch!C34</f>
        <v>166.79</v>
      </c>
      <c r="D34" s="8">
        <f>D32/D33</f>
        <v>166.44556679534634</v>
      </c>
      <c r="E34" s="24"/>
    </row>
    <row r="35" spans="1:5" x14ac:dyDescent="0.2">
      <c r="A35" s="6"/>
      <c r="B35" s="6" t="s">
        <v>20</v>
      </c>
      <c r="C35" s="6"/>
      <c r="D35" s="9">
        <f>IF(C34/D34-1&gt;0,0,C34/D34-1)*-1</f>
        <v>0</v>
      </c>
      <c r="E35" s="24"/>
    </row>
    <row r="36" spans="1:5" x14ac:dyDescent="0.2">
      <c r="A36" s="6"/>
      <c r="B36" s="6" t="s">
        <v>21</v>
      </c>
      <c r="C36" s="6"/>
      <c r="D36" s="9">
        <f>IF(C34/D34-1&lt;0,0,C34/D34-1)</f>
        <v>2.069344418629937E-3</v>
      </c>
      <c r="E36" s="24"/>
    </row>
    <row r="37" spans="1:5" x14ac:dyDescent="0.2">
      <c r="A37" s="24"/>
      <c r="B37" s="24"/>
      <c r="C37" s="24"/>
      <c r="D37" s="24"/>
      <c r="E37" s="24"/>
    </row>
    <row r="38" spans="1:5" x14ac:dyDescent="0.2">
      <c r="A38" s="25" t="s">
        <v>23</v>
      </c>
      <c r="B38" s="10"/>
      <c r="C38" s="10"/>
      <c r="D38" s="11"/>
      <c r="E38" s="24"/>
    </row>
    <row r="39" spans="1:5" x14ac:dyDescent="0.2">
      <c r="A39" s="12"/>
      <c r="D39" s="13"/>
    </row>
    <row r="40" spans="1:5" x14ac:dyDescent="0.2">
      <c r="A40" s="12" t="str">
        <f>"KGV in "&amp;Q9&amp;":"</f>
        <v>KGV in 2032:</v>
      </c>
      <c r="D40" s="15">
        <v>16</v>
      </c>
    </row>
    <row r="41" spans="1:5" x14ac:dyDescent="0.2">
      <c r="A41" s="12"/>
      <c r="D41" s="13"/>
    </row>
    <row r="42" spans="1:5" x14ac:dyDescent="0.2">
      <c r="A42" s="12" t="str">
        <f>"Aktienkurs in "&amp;Q9&amp;":"</f>
        <v>Aktienkurs in 2032:</v>
      </c>
      <c r="D42" s="15">
        <f>Q16*D40</f>
        <v>153.55380932379828</v>
      </c>
    </row>
    <row r="43" spans="1:5" x14ac:dyDescent="0.2">
      <c r="A43" s="12"/>
      <c r="D43" s="13"/>
    </row>
    <row r="44" spans="1:5" x14ac:dyDescent="0.2">
      <c r="A44" s="12" t="s">
        <v>25</v>
      </c>
      <c r="D44" s="14">
        <v>0.6</v>
      </c>
    </row>
    <row r="45" spans="1:5" x14ac:dyDescent="0.2">
      <c r="A45" s="12"/>
      <c r="D45" s="13"/>
    </row>
    <row r="46" spans="1:5" x14ac:dyDescent="0.2">
      <c r="A46" s="12" t="s">
        <v>26</v>
      </c>
      <c r="D46" s="15">
        <f>D44*SUM(H16:Q16)</f>
        <v>50.626154898103728</v>
      </c>
    </row>
    <row r="47" spans="1:5" x14ac:dyDescent="0.2">
      <c r="A47" s="12"/>
      <c r="D47" s="13"/>
    </row>
    <row r="48" spans="1:5" x14ac:dyDescent="0.2">
      <c r="A48" s="12" t="s">
        <v>27</v>
      </c>
      <c r="D48" s="14">
        <f>Optimistisch!D48</f>
        <v>0.15</v>
      </c>
    </row>
    <row r="49" spans="1:4" x14ac:dyDescent="0.2">
      <c r="A49" s="12"/>
      <c r="D49" s="13"/>
    </row>
    <row r="50" spans="1:4" x14ac:dyDescent="0.2">
      <c r="A50" s="12" t="str">
        <f>"Gesamtwert "&amp;Q9</f>
        <v>Gesamtwert 2032</v>
      </c>
      <c r="D50" s="15">
        <f>D42+D46*(1-D48)</f>
        <v>196.58604098718644</v>
      </c>
    </row>
    <row r="51" spans="1:4" x14ac:dyDescent="0.2">
      <c r="A51" s="12"/>
      <c r="D51" s="13"/>
    </row>
    <row r="52" spans="1:4" x14ac:dyDescent="0.2">
      <c r="A52" s="12" t="str">
        <f>"Steigerung bis "&amp;Q9</f>
        <v>Steigerung bis 2032</v>
      </c>
      <c r="D52" s="14">
        <f>D50/C34-1</f>
        <v>0.17864404932661704</v>
      </c>
    </row>
    <row r="53" spans="1:4" x14ac:dyDescent="0.2">
      <c r="A53" s="12"/>
      <c r="D53" s="13"/>
    </row>
    <row r="54" spans="1:4" x14ac:dyDescent="0.2">
      <c r="A54" s="27" t="str">
        <f>"Renditeerwartung bis "&amp;Q9&amp;" pro Jahr"</f>
        <v>Renditeerwartung bis 2032 pro Jahr</v>
      </c>
      <c r="B54" s="28"/>
      <c r="C54" s="28"/>
      <c r="D54" s="29">
        <f>(D50/C34)^(1/10)-1</f>
        <v>1.6572288542496372E-2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D1D1A-4C90-5D4F-B2EA-4FAC9D5FC900}">
  <dimension ref="A2:R54"/>
  <sheetViews>
    <sheetView showGridLines="0" workbookViewId="0"/>
  </sheetViews>
  <sheetFormatPr baseColWidth="10" defaultRowHeight="16" x14ac:dyDescent="0.2"/>
  <cols>
    <col min="1" max="1" width="22.5" customWidth="1"/>
    <col min="2" max="2" width="35" customWidth="1"/>
    <col min="3" max="18" width="13.33203125" customWidth="1"/>
  </cols>
  <sheetData>
    <row r="2" spans="1:18" ht="26" x14ac:dyDescent="0.3">
      <c r="B2" s="20" t="s">
        <v>0</v>
      </c>
    </row>
    <row r="4" spans="1:18" x14ac:dyDescent="0.2">
      <c r="B4" t="str">
        <f>Optimistisch!B4</f>
        <v>Annahmen für PepsiCo</v>
      </c>
    </row>
    <row r="6" spans="1:18" x14ac:dyDescent="0.2">
      <c r="B6" t="str">
        <f>Optimistisch!B6</f>
        <v>Alle Angaben in Mrd.</v>
      </c>
    </row>
    <row r="8" spans="1:18" x14ac:dyDescent="0.2">
      <c r="A8" s="2"/>
      <c r="B8" s="2"/>
      <c r="C8" s="2"/>
      <c r="D8" s="2"/>
      <c r="E8" s="2"/>
      <c r="F8" s="2"/>
      <c r="G8" s="2"/>
      <c r="H8" s="3" t="s">
        <v>9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">
      <c r="C9">
        <f>Optimistisch!C9</f>
        <v>2018</v>
      </c>
      <c r="D9">
        <f>C9+1</f>
        <v>2019</v>
      </c>
      <c r="E9">
        <f t="shared" ref="E9:Q9" si="0">D9+1</f>
        <v>2020</v>
      </c>
      <c r="F9">
        <f t="shared" si="0"/>
        <v>2021</v>
      </c>
      <c r="G9">
        <f t="shared" si="0"/>
        <v>2022</v>
      </c>
      <c r="H9" s="6">
        <f t="shared" si="0"/>
        <v>2023</v>
      </c>
      <c r="I9" s="6">
        <f t="shared" si="0"/>
        <v>2024</v>
      </c>
      <c r="J9" s="6">
        <f t="shared" si="0"/>
        <v>2025</v>
      </c>
      <c r="K9" s="6">
        <f t="shared" si="0"/>
        <v>2026</v>
      </c>
      <c r="L9" s="6">
        <f t="shared" si="0"/>
        <v>2027</v>
      </c>
      <c r="M9" s="6">
        <f t="shared" si="0"/>
        <v>2028</v>
      </c>
      <c r="N9" s="6">
        <f t="shared" si="0"/>
        <v>2029</v>
      </c>
      <c r="O9" s="6">
        <f t="shared" si="0"/>
        <v>2030</v>
      </c>
      <c r="P9" s="6">
        <f t="shared" si="0"/>
        <v>2031</v>
      </c>
      <c r="Q9" s="6">
        <f t="shared" si="0"/>
        <v>2032</v>
      </c>
      <c r="R9" s="7" t="str">
        <f>Q9+1&amp;"ff."</f>
        <v>2033ff.</v>
      </c>
    </row>
    <row r="10" spans="1:18" x14ac:dyDescent="0.2">
      <c r="B10" t="s">
        <v>2</v>
      </c>
      <c r="C10" s="4">
        <f>Optimistisch!C10</f>
        <v>64.661000000000001</v>
      </c>
      <c r="D10" s="4">
        <f>Optimistisch!D10</f>
        <v>67.161000000000001</v>
      </c>
      <c r="E10" s="4">
        <f>Optimistisch!E10</f>
        <v>70.372</v>
      </c>
      <c r="F10" s="4">
        <f>Optimistisch!F10</f>
        <v>79.474000000000004</v>
      </c>
      <c r="G10" s="4">
        <f>Optimistisch!G10</f>
        <v>86.391999999999996</v>
      </c>
      <c r="H10" s="8">
        <f t="shared" ref="H10:J10" si="1">G10*(1+H11)</f>
        <v>87.731076000000002</v>
      </c>
      <c r="I10" s="8">
        <f t="shared" si="1"/>
        <v>89.090907678000008</v>
      </c>
      <c r="J10" s="8">
        <f t="shared" si="1"/>
        <v>90.471816747009015</v>
      </c>
      <c r="K10" s="8">
        <f>J10*(1+K11)</f>
        <v>91.874129906587655</v>
      </c>
      <c r="L10" s="8">
        <f t="shared" ref="L10:R10" si="2">K10*(1+L11)</f>
        <v>93.298178920139776</v>
      </c>
      <c r="M10" s="8">
        <f t="shared" si="2"/>
        <v>94.744300693401954</v>
      </c>
      <c r="N10" s="8">
        <f t="shared" si="2"/>
        <v>96.212837354149684</v>
      </c>
      <c r="O10" s="8">
        <f t="shared" si="2"/>
        <v>97.704136333139004</v>
      </c>
      <c r="P10" s="8">
        <f t="shared" si="2"/>
        <v>99.218550446302672</v>
      </c>
      <c r="Q10" s="8">
        <f t="shared" si="2"/>
        <v>100.75643797822038</v>
      </c>
      <c r="R10" s="8">
        <f t="shared" si="2"/>
        <v>102.31816276688279</v>
      </c>
    </row>
    <row r="11" spans="1:18" x14ac:dyDescent="0.2">
      <c r="B11" t="s">
        <v>3</v>
      </c>
      <c r="C11" s="1" t="s">
        <v>10</v>
      </c>
      <c r="D11" s="5">
        <f>D10/C10-1</f>
        <v>3.8663181825211446E-2</v>
      </c>
      <c r="E11" s="5">
        <f t="shared" ref="E11:F11" si="3">E10/D10-1</f>
        <v>4.7810485251857493E-2</v>
      </c>
      <c r="F11" s="5">
        <f t="shared" si="3"/>
        <v>0.12934121525606779</v>
      </c>
      <c r="G11" s="5">
        <f>G10/F10-1</f>
        <v>8.7047336235750006E-2</v>
      </c>
      <c r="H11" s="9">
        <v>1.55E-2</v>
      </c>
      <c r="I11" s="9">
        <f>$H$11</f>
        <v>1.55E-2</v>
      </c>
      <c r="J11" s="9">
        <f t="shared" ref="J11:Q11" si="4">$H$11</f>
        <v>1.55E-2</v>
      </c>
      <c r="K11" s="9">
        <f t="shared" si="4"/>
        <v>1.55E-2</v>
      </c>
      <c r="L11" s="9">
        <f t="shared" si="4"/>
        <v>1.55E-2</v>
      </c>
      <c r="M11" s="9">
        <f t="shared" si="4"/>
        <v>1.55E-2</v>
      </c>
      <c r="N11" s="9">
        <f t="shared" si="4"/>
        <v>1.55E-2</v>
      </c>
      <c r="O11" s="9">
        <f t="shared" si="4"/>
        <v>1.55E-2</v>
      </c>
      <c r="P11" s="9">
        <f t="shared" si="4"/>
        <v>1.55E-2</v>
      </c>
      <c r="Q11" s="9">
        <f t="shared" si="4"/>
        <v>1.55E-2</v>
      </c>
      <c r="R11" s="9">
        <v>1.55E-2</v>
      </c>
    </row>
    <row r="12" spans="1:18" x14ac:dyDescent="0.2">
      <c r="B12" t="s">
        <v>4</v>
      </c>
      <c r="C12" s="5">
        <f>C13/C10</f>
        <v>0.15635390730115525</v>
      </c>
      <c r="D12" s="5">
        <f t="shared" ref="D12:G12" si="5">D13/D10</f>
        <v>0.15322880838581915</v>
      </c>
      <c r="E12" s="5">
        <f t="shared" si="5"/>
        <v>0.14323878815437957</v>
      </c>
      <c r="F12" s="5">
        <f t="shared" si="5"/>
        <v>0.14044844854921107</v>
      </c>
      <c r="G12" s="5">
        <f t="shared" si="5"/>
        <v>0.13325307898879526</v>
      </c>
      <c r="H12" s="9">
        <f>Optimistisch!H12</f>
        <v>0.14939845378735234</v>
      </c>
      <c r="I12" s="9">
        <f>Optimistisch!I12</f>
        <v>0.15299944964226747</v>
      </c>
      <c r="J12" s="9">
        <f>Optimistisch!J12</f>
        <v>0.15730259045767067</v>
      </c>
      <c r="K12" s="9">
        <f>Optimistisch!K12</f>
        <v>0.1575</v>
      </c>
      <c r="L12" s="9">
        <f>Optimistisch!L12</f>
        <v>0.1575</v>
      </c>
      <c r="M12" s="9">
        <f>Optimistisch!M12</f>
        <v>0.1575</v>
      </c>
      <c r="N12" s="9">
        <f>Optimistisch!N12</f>
        <v>0.16</v>
      </c>
      <c r="O12" s="9">
        <f>Optimistisch!O12</f>
        <v>0.16</v>
      </c>
      <c r="P12" s="9">
        <f>Optimistisch!P12</f>
        <v>0.16250000000000001</v>
      </c>
      <c r="Q12" s="9">
        <f>Optimistisch!Q12</f>
        <v>0.16500000000000001</v>
      </c>
      <c r="R12" s="9">
        <f>Optimistisch!R12</f>
        <v>0.16500000000000001</v>
      </c>
    </row>
    <row r="13" spans="1:18" x14ac:dyDescent="0.2">
      <c r="B13" t="s">
        <v>5</v>
      </c>
      <c r="C13" s="4">
        <f>Optimistisch!C13</f>
        <v>10.11</v>
      </c>
      <c r="D13" s="4">
        <f>Optimistisch!D13</f>
        <v>10.291</v>
      </c>
      <c r="E13" s="4">
        <f>Optimistisch!E13</f>
        <v>10.08</v>
      </c>
      <c r="F13" s="4">
        <f>Optimistisch!F13</f>
        <v>11.162000000000001</v>
      </c>
      <c r="G13" s="4">
        <f>Optimistisch!G13</f>
        <v>11.512</v>
      </c>
      <c r="H13" s="8">
        <f t="shared" ref="H13:J13" si="6">H10*H12</f>
        <v>13.106887103500696</v>
      </c>
      <c r="I13" s="8">
        <f t="shared" si="6"/>
        <v>13.630859842864062</v>
      </c>
      <c r="J13" s="8">
        <f t="shared" si="6"/>
        <v>14.23145113771619</v>
      </c>
      <c r="K13" s="8">
        <f>K10*K12</f>
        <v>14.470175460287555</v>
      </c>
      <c r="L13" s="8">
        <f t="shared" ref="L13:R13" si="7">L10*L12</f>
        <v>14.694463179922014</v>
      </c>
      <c r="M13" s="8">
        <f t="shared" si="7"/>
        <v>14.922227359210808</v>
      </c>
      <c r="N13" s="8">
        <f t="shared" si="7"/>
        <v>15.394053976663949</v>
      </c>
      <c r="O13" s="8">
        <f t="shared" si="7"/>
        <v>15.63266181330224</v>
      </c>
      <c r="P13" s="8">
        <f t="shared" si="7"/>
        <v>16.123014447524184</v>
      </c>
      <c r="Q13" s="8">
        <f t="shared" si="7"/>
        <v>16.624812266406362</v>
      </c>
      <c r="R13" s="8">
        <f t="shared" si="7"/>
        <v>16.88249685653566</v>
      </c>
    </row>
    <row r="14" spans="1:18" x14ac:dyDescent="0.2">
      <c r="A14" s="9">
        <f>Optimistisch!A14</f>
        <v>0.25</v>
      </c>
      <c r="B14" t="s">
        <v>6</v>
      </c>
      <c r="C14" s="4">
        <f>Optimistisch!C14</f>
        <v>12.515000000000001</v>
      </c>
      <c r="D14" s="4">
        <f>Optimistisch!D14</f>
        <v>7.3140000000000001</v>
      </c>
      <c r="E14" s="4">
        <f>Optimistisch!E14</f>
        <v>7.12</v>
      </c>
      <c r="F14" s="4">
        <f>Optimistisch!F14</f>
        <v>7.6180000000000003</v>
      </c>
      <c r="G14" s="4">
        <f>Optimistisch!G14</f>
        <v>8.91</v>
      </c>
      <c r="H14" s="8">
        <f>H13*(1-$A$14)</f>
        <v>9.8301653276255223</v>
      </c>
      <c r="I14" s="8">
        <f t="shared" ref="I14:J14" si="8">I13*(1-$A$14)</f>
        <v>10.223144882148047</v>
      </c>
      <c r="J14" s="8">
        <f t="shared" si="8"/>
        <v>10.673588353287142</v>
      </c>
      <c r="K14" s="8">
        <f>K13*(1-$A$14)</f>
        <v>10.852631595215666</v>
      </c>
      <c r="L14" s="8">
        <f t="shared" ref="L14:R14" si="9">L13*(1-$A$14)</f>
        <v>11.020847384941511</v>
      </c>
      <c r="M14" s="8">
        <f t="shared" si="9"/>
        <v>11.191670519408106</v>
      </c>
      <c r="N14" s="8">
        <f t="shared" si="9"/>
        <v>11.545540482497962</v>
      </c>
      <c r="O14" s="8">
        <f t="shared" si="9"/>
        <v>11.72449635997668</v>
      </c>
      <c r="P14" s="8">
        <f t="shared" si="9"/>
        <v>12.092260835643138</v>
      </c>
      <c r="Q14" s="8">
        <f t="shared" si="9"/>
        <v>12.468609199804771</v>
      </c>
      <c r="R14" s="8">
        <f t="shared" si="9"/>
        <v>12.661872642401745</v>
      </c>
    </row>
    <row r="15" spans="1:18" x14ac:dyDescent="0.2">
      <c r="A15" s="9">
        <f>Optimistisch!A15</f>
        <v>0.99</v>
      </c>
      <c r="B15" t="s">
        <v>28</v>
      </c>
      <c r="H15" s="8">
        <f>C33</f>
        <v>1.374863961</v>
      </c>
      <c r="I15" s="8">
        <f>H15*$A$15</f>
        <v>1.36111532139</v>
      </c>
      <c r="J15" s="8">
        <f t="shared" ref="J15:Q15" si="10">I15*$A$15</f>
        <v>1.3475041681761</v>
      </c>
      <c r="K15" s="8">
        <f t="shared" si="10"/>
        <v>1.3340291264943389</v>
      </c>
      <c r="L15" s="8">
        <f t="shared" si="10"/>
        <v>1.3206888352293955</v>
      </c>
      <c r="M15" s="8">
        <f t="shared" si="10"/>
        <v>1.3074819468771015</v>
      </c>
      <c r="N15" s="8">
        <f t="shared" si="10"/>
        <v>1.2944071274083304</v>
      </c>
      <c r="O15" s="8">
        <f t="shared" si="10"/>
        <v>1.281463056134247</v>
      </c>
      <c r="P15" s="8">
        <f t="shared" si="10"/>
        <v>1.2686484255729045</v>
      </c>
      <c r="Q15" s="8">
        <f t="shared" si="10"/>
        <v>1.2559619413171754</v>
      </c>
      <c r="R15" s="7" t="s">
        <v>10</v>
      </c>
    </row>
    <row r="16" spans="1:18" x14ac:dyDescent="0.2">
      <c r="B16" t="s">
        <v>8</v>
      </c>
      <c r="H16" s="8">
        <f>H14/H15</f>
        <v>7.1499185421047793</v>
      </c>
      <c r="I16" s="8">
        <f t="shared" ref="I16:P16" si="11">I14/I15</f>
        <v>7.5108587211463851</v>
      </c>
      <c r="J16" s="8">
        <f t="shared" si="11"/>
        <v>7.9210058160593784</v>
      </c>
      <c r="K16" s="8">
        <f t="shared" si="11"/>
        <v>8.135228369214861</v>
      </c>
      <c r="L16" s="8">
        <f t="shared" si="11"/>
        <v>8.3447721302400932</v>
      </c>
      <c r="M16" s="8">
        <f t="shared" si="11"/>
        <v>8.5597132305644621</v>
      </c>
      <c r="N16" s="8">
        <f t="shared" si="11"/>
        <v>8.9195587987950216</v>
      </c>
      <c r="O16" s="8">
        <f t="shared" si="11"/>
        <v>9.1493050102791358</v>
      </c>
      <c r="P16" s="8">
        <f t="shared" si="11"/>
        <v>9.5316090666982358</v>
      </c>
      <c r="Q16" s="8">
        <f>Q14/Q15</f>
        <v>9.9275374433149324</v>
      </c>
      <c r="R16" s="7" t="s">
        <v>10</v>
      </c>
    </row>
    <row r="17" spans="1:18" x14ac:dyDescent="0.2">
      <c r="F17" s="21" t="s">
        <v>22</v>
      </c>
      <c r="G17" s="22"/>
      <c r="H17" s="23">
        <f>H14/(1+$B$29)</f>
        <v>9.2564418079283168</v>
      </c>
      <c r="I17" s="23">
        <f>I14/(1+$B$29)^2</f>
        <v>9.0646496251928284</v>
      </c>
      <c r="J17" s="23">
        <f>J14/(1+$B$29)^3</f>
        <v>8.9116928349866402</v>
      </c>
      <c r="K17" s="23">
        <f>K14/(1+$B$29)^4</f>
        <v>8.5323384349424938</v>
      </c>
      <c r="L17" s="23">
        <f>L14/(1+$B$29)^5</f>
        <v>8.1588933141780355</v>
      </c>
      <c r="M17" s="23">
        <f>M14/(1+$B$29)^6</f>
        <v>7.8017932152720197</v>
      </c>
      <c r="N17" s="23">
        <f>N14/(1+$B$29)^7</f>
        <v>7.5787405673544699</v>
      </c>
      <c r="O17" s="23">
        <f>O14/(1+$B$29)^8</f>
        <v>7.2470327116478206</v>
      </c>
      <c r="P17" s="23">
        <f>P14/(1+$B$29)^9</f>
        <v>7.0381219113456002</v>
      </c>
      <c r="Q17" s="23">
        <f>Q14/(1+$B$29)^10</f>
        <v>6.8336155929215323</v>
      </c>
      <c r="R17" s="26">
        <f>(R14/(B29-R11))/(1+B29)^10</f>
        <v>149.29835060802944</v>
      </c>
    </row>
    <row r="19" spans="1:18" x14ac:dyDescent="0.2">
      <c r="A19" s="19" t="s">
        <v>24</v>
      </c>
      <c r="B19" s="11"/>
    </row>
    <row r="20" spans="1:18" x14ac:dyDescent="0.2">
      <c r="B20" s="13"/>
    </row>
    <row r="21" spans="1:18" x14ac:dyDescent="0.2">
      <c r="A21" t="s">
        <v>11</v>
      </c>
      <c r="B21" s="14">
        <f>Optimistisch!B21</f>
        <v>4.5699999999999998E-2</v>
      </c>
    </row>
    <row r="22" spans="1:18" x14ac:dyDescent="0.2">
      <c r="B22" s="13"/>
    </row>
    <row r="23" spans="1:18" x14ac:dyDescent="0.2">
      <c r="A23" t="s">
        <v>12</v>
      </c>
      <c r="B23" s="14">
        <f>(B25-B21)*B27</f>
        <v>1.6281000000000007E-2</v>
      </c>
    </row>
    <row r="24" spans="1:18" x14ac:dyDescent="0.2">
      <c r="B24" s="13"/>
    </row>
    <row r="25" spans="1:18" x14ac:dyDescent="0.2">
      <c r="A25" t="s">
        <v>13</v>
      </c>
      <c r="B25" s="14">
        <f>Optimistisch!B25</f>
        <v>7.0000000000000007E-2</v>
      </c>
    </row>
    <row r="26" spans="1:18" x14ac:dyDescent="0.2">
      <c r="B26" s="13"/>
    </row>
    <row r="27" spans="1:18" x14ac:dyDescent="0.2">
      <c r="A27" t="s">
        <v>14</v>
      </c>
      <c r="B27" s="15">
        <f>Optimistisch!B27</f>
        <v>0.67</v>
      </c>
    </row>
    <row r="28" spans="1:18" x14ac:dyDescent="0.2">
      <c r="B28" s="13"/>
    </row>
    <row r="29" spans="1:18" x14ac:dyDescent="0.2">
      <c r="A29" s="17" t="s">
        <v>15</v>
      </c>
      <c r="B29" s="18">
        <f>B21+(B25-B21)*B27</f>
        <v>6.1981000000000008E-2</v>
      </c>
    </row>
    <row r="31" spans="1:18" x14ac:dyDescent="0.2">
      <c r="A31" s="2"/>
      <c r="B31" s="2"/>
      <c r="C31" s="30">
        <f>Optimistisch!C31</f>
        <v>45233</v>
      </c>
      <c r="D31" s="31" t="s">
        <v>16</v>
      </c>
      <c r="E31" s="24"/>
    </row>
    <row r="32" spans="1:18" x14ac:dyDescent="0.2">
      <c r="A32" s="6" t="s">
        <v>17</v>
      </c>
      <c r="B32" s="6" t="s">
        <v>18</v>
      </c>
      <c r="C32" s="8">
        <f>C33*C34</f>
        <v>229.31356005518998</v>
      </c>
      <c r="D32" s="8">
        <f>SUM(H17:R17)</f>
        <v>229.72167062379918</v>
      </c>
      <c r="E32" s="24"/>
    </row>
    <row r="33" spans="1:5" x14ac:dyDescent="0.2">
      <c r="A33" s="6"/>
      <c r="B33" s="6" t="s">
        <v>7</v>
      </c>
      <c r="C33" s="8">
        <f>Optimistisch!C33</f>
        <v>1.374863961</v>
      </c>
      <c r="D33" s="8">
        <f>C33</f>
        <v>1.374863961</v>
      </c>
      <c r="E33" s="24"/>
    </row>
    <row r="34" spans="1:5" x14ac:dyDescent="0.2">
      <c r="A34" s="6"/>
      <c r="B34" s="6" t="s">
        <v>19</v>
      </c>
      <c r="C34" s="8">
        <f>Optimistisch!C34</f>
        <v>166.79</v>
      </c>
      <c r="D34" s="8">
        <f>D32/D33</f>
        <v>167.08683705456383</v>
      </c>
      <c r="E34" s="24"/>
    </row>
    <row r="35" spans="1:5" x14ac:dyDescent="0.2">
      <c r="A35" s="6"/>
      <c r="B35" s="6" t="s">
        <v>20</v>
      </c>
      <c r="C35" s="6"/>
      <c r="D35" s="9">
        <f>IF(C34/D34-1&gt;0,0,C34/D34-1)*-1</f>
        <v>1.7765436212482388E-3</v>
      </c>
      <c r="E35" s="24"/>
    </row>
    <row r="36" spans="1:5" x14ac:dyDescent="0.2">
      <c r="A36" s="6"/>
      <c r="B36" s="6" t="s">
        <v>21</v>
      </c>
      <c r="C36" s="6"/>
      <c r="D36" s="9">
        <f>IF(C34/D34-1&lt;0,0,C34/D34-1)</f>
        <v>0</v>
      </c>
      <c r="E36" s="24"/>
    </row>
    <row r="37" spans="1:5" x14ac:dyDescent="0.2">
      <c r="A37" s="24"/>
      <c r="B37" s="24"/>
      <c r="C37" s="24"/>
      <c r="D37" s="24"/>
      <c r="E37" s="24"/>
    </row>
    <row r="38" spans="1:5" x14ac:dyDescent="0.2">
      <c r="A38" s="25" t="s">
        <v>23</v>
      </c>
      <c r="B38" s="10"/>
      <c r="C38" s="10"/>
      <c r="D38" s="11"/>
      <c r="E38" s="24"/>
    </row>
    <row r="39" spans="1:5" x14ac:dyDescent="0.2">
      <c r="A39" s="12"/>
      <c r="D39" s="13"/>
    </row>
    <row r="40" spans="1:5" x14ac:dyDescent="0.2">
      <c r="A40" s="12" t="str">
        <f>"KGV in "&amp;Q9&amp;":"</f>
        <v>KGV in 2032:</v>
      </c>
      <c r="D40" s="15">
        <v>40</v>
      </c>
    </row>
    <row r="41" spans="1:5" x14ac:dyDescent="0.2">
      <c r="A41" s="12"/>
      <c r="D41" s="13"/>
    </row>
    <row r="42" spans="1:5" x14ac:dyDescent="0.2">
      <c r="A42" s="12" t="str">
        <f>"Aktienkurs in "&amp;Q9&amp;":"</f>
        <v>Aktienkurs in 2032:</v>
      </c>
      <c r="D42" s="15">
        <f>Q16*D40</f>
        <v>397.10149773259729</v>
      </c>
    </row>
    <row r="43" spans="1:5" x14ac:dyDescent="0.2">
      <c r="A43" s="12"/>
      <c r="D43" s="13"/>
    </row>
    <row r="44" spans="1:5" x14ac:dyDescent="0.2">
      <c r="A44" s="12" t="s">
        <v>25</v>
      </c>
      <c r="D44" s="14">
        <f>Optimistisch!D44</f>
        <v>0.75</v>
      </c>
    </row>
    <row r="45" spans="1:5" x14ac:dyDescent="0.2">
      <c r="A45" s="12"/>
      <c r="D45" s="13"/>
    </row>
    <row r="46" spans="1:5" x14ac:dyDescent="0.2">
      <c r="A46" s="12" t="s">
        <v>26</v>
      </c>
      <c r="D46" s="15">
        <f>D44*SUM(H16:Q16)</f>
        <v>63.862130346312973</v>
      </c>
    </row>
    <row r="47" spans="1:5" x14ac:dyDescent="0.2">
      <c r="A47" s="12"/>
      <c r="D47" s="13"/>
    </row>
    <row r="48" spans="1:5" x14ac:dyDescent="0.2">
      <c r="A48" s="12" t="s">
        <v>27</v>
      </c>
      <c r="D48" s="14">
        <f>Optimistisch!D48</f>
        <v>0.15</v>
      </c>
    </row>
    <row r="49" spans="1:4" x14ac:dyDescent="0.2">
      <c r="A49" s="12"/>
      <c r="D49" s="13"/>
    </row>
    <row r="50" spans="1:4" x14ac:dyDescent="0.2">
      <c r="A50" s="12" t="str">
        <f>"Gesamtwert "&amp;Q9</f>
        <v>Gesamtwert 2032</v>
      </c>
      <c r="D50" s="15">
        <f>D42+D46*(1-D48)</f>
        <v>451.38430852696331</v>
      </c>
    </row>
    <row r="51" spans="1:4" x14ac:dyDescent="0.2">
      <c r="A51" s="12"/>
      <c r="D51" s="13"/>
    </row>
    <row r="52" spans="1:4" x14ac:dyDescent="0.2">
      <c r="A52" s="12" t="str">
        <f>"Steigerung bis "&amp;Q9</f>
        <v>Steigerung bis 2032</v>
      </c>
      <c r="D52" s="14">
        <f>D50/C34-1</f>
        <v>1.7063031868035452</v>
      </c>
    </row>
    <row r="53" spans="1:4" x14ac:dyDescent="0.2">
      <c r="A53" s="12"/>
      <c r="D53" s="13"/>
    </row>
    <row r="54" spans="1:4" x14ac:dyDescent="0.2">
      <c r="A54" s="27" t="str">
        <f>"Renditeerwartung bis "&amp;Q9&amp;" pro Jahr"</f>
        <v>Renditeerwartung bis 2032 pro Jahr</v>
      </c>
      <c r="B54" s="28"/>
      <c r="C54" s="28"/>
      <c r="D54" s="29">
        <f>(D50/C34)^(1/10)-1</f>
        <v>0.10468293438784171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AC595-0A3D-DE41-8B7F-3ABB60455D02}">
  <dimension ref="A2:R46"/>
  <sheetViews>
    <sheetView showGridLines="0" workbookViewId="0"/>
  </sheetViews>
  <sheetFormatPr baseColWidth="10" defaultRowHeight="16" x14ac:dyDescent="0.2"/>
  <cols>
    <col min="1" max="1" width="22.5" customWidth="1"/>
    <col min="2" max="2" width="35" customWidth="1"/>
    <col min="3" max="18" width="13.33203125" customWidth="1"/>
  </cols>
  <sheetData>
    <row r="2" spans="1:18" ht="26" x14ac:dyDescent="0.3">
      <c r="B2" s="20" t="s">
        <v>29</v>
      </c>
    </row>
    <row r="4" spans="1:18" x14ac:dyDescent="0.2">
      <c r="B4" t="str">
        <f>Optimistisch!B4</f>
        <v>Annahmen für PepsiCo</v>
      </c>
    </row>
    <row r="6" spans="1:18" x14ac:dyDescent="0.2">
      <c r="B6" t="str">
        <f>Optimistisch!B6</f>
        <v>Alle Angaben in Mrd.</v>
      </c>
    </row>
    <row r="8" spans="1:18" x14ac:dyDescent="0.2">
      <c r="A8" s="2"/>
      <c r="B8" s="2"/>
      <c r="C8" s="2"/>
      <c r="D8" s="2"/>
      <c r="E8" s="2"/>
      <c r="F8" s="2"/>
      <c r="G8" s="2"/>
      <c r="H8" s="3" t="s">
        <v>9</v>
      </c>
      <c r="I8" s="2"/>
      <c r="J8" s="2"/>
      <c r="K8" s="2"/>
      <c r="L8" s="2"/>
      <c r="M8" s="2"/>
      <c r="N8" s="24"/>
      <c r="O8" s="24"/>
      <c r="P8" s="24"/>
      <c r="Q8" s="24"/>
      <c r="R8" s="24"/>
    </row>
    <row r="9" spans="1:18" x14ac:dyDescent="0.2">
      <c r="C9">
        <f>Optimistisch!C9</f>
        <v>2018</v>
      </c>
      <c r="D9">
        <f>C9+1</f>
        <v>2019</v>
      </c>
      <c r="E9">
        <f t="shared" ref="E9:M9" si="0">D9+1</f>
        <v>2020</v>
      </c>
      <c r="F9">
        <f t="shared" si="0"/>
        <v>2021</v>
      </c>
      <c r="G9">
        <f t="shared" si="0"/>
        <v>2022</v>
      </c>
      <c r="H9" s="6">
        <f>G9+1</f>
        <v>2023</v>
      </c>
      <c r="I9" s="6">
        <f t="shared" si="0"/>
        <v>2024</v>
      </c>
      <c r="J9" s="6">
        <f t="shared" si="0"/>
        <v>2025</v>
      </c>
      <c r="K9" s="6">
        <f t="shared" si="0"/>
        <v>2026</v>
      </c>
      <c r="L9" s="6">
        <f t="shared" si="0"/>
        <v>2027</v>
      </c>
      <c r="M9" s="6">
        <f t="shared" si="0"/>
        <v>2028</v>
      </c>
      <c r="N9" s="24"/>
      <c r="O9" s="24"/>
      <c r="P9" s="24"/>
      <c r="Q9" s="24"/>
      <c r="R9" s="33"/>
    </row>
    <row r="10" spans="1:18" x14ac:dyDescent="0.2">
      <c r="B10" t="s">
        <v>2</v>
      </c>
      <c r="C10" s="4">
        <f>Optimistisch!C10</f>
        <v>64.661000000000001</v>
      </c>
      <c r="D10" s="4">
        <f>Optimistisch!D10</f>
        <v>67.161000000000001</v>
      </c>
      <c r="E10" s="4">
        <f>Optimistisch!E10</f>
        <v>70.372</v>
      </c>
      <c r="F10" s="4">
        <f>Optimistisch!F10</f>
        <v>79.474000000000004</v>
      </c>
      <c r="G10" s="4">
        <f>Optimistisch!G10</f>
        <v>86.391999999999996</v>
      </c>
      <c r="H10" s="8">
        <f>Optimistisch!H10</f>
        <v>92.096000000000004</v>
      </c>
      <c r="I10" s="8">
        <f>Optimistisch!I10</f>
        <v>96.301000000000002</v>
      </c>
      <c r="J10" s="8">
        <f>Optimistisch!J10</f>
        <v>100.79300000000001</v>
      </c>
      <c r="K10" s="8">
        <f>(Optimistisch!K10+Pessimistisch!K10)/2</f>
        <v>106.0846325</v>
      </c>
      <c r="L10" s="8">
        <f>(Optimistisch!L10+Pessimistisch!L10)/2</f>
        <v>111.52808445625001</v>
      </c>
      <c r="M10" s="8">
        <f>(Optimistisch!M10+Pessimistisch!M10)/2</f>
        <v>116.83859044550002</v>
      </c>
      <c r="N10" s="32"/>
      <c r="O10" s="32"/>
      <c r="P10" s="32"/>
      <c r="Q10" s="32"/>
      <c r="R10" s="32"/>
    </row>
    <row r="11" spans="1:18" x14ac:dyDescent="0.2">
      <c r="B11" t="s">
        <v>30</v>
      </c>
      <c r="C11" s="5">
        <f>C12/C10</f>
        <v>9.4848517653608813E-2</v>
      </c>
      <c r="D11" s="5">
        <f>D12/D10</f>
        <v>8.0656928872411063E-2</v>
      </c>
      <c r="E11" s="5">
        <f>E12/E10</f>
        <v>9.0561586994827498E-2</v>
      </c>
      <c r="F11" s="5">
        <f>F12/F10</f>
        <v>8.7965875632282253E-2</v>
      </c>
      <c r="G11" s="5">
        <f>G12/G10</f>
        <v>6.4867117325678306E-2</v>
      </c>
      <c r="H11" s="9">
        <v>9.2799999999999994E-2</v>
      </c>
      <c r="I11" s="9">
        <v>9.7500000000000003E-2</v>
      </c>
      <c r="J11" s="9">
        <v>0.107</v>
      </c>
      <c r="K11" s="9">
        <v>0.10249999999999999</v>
      </c>
      <c r="L11" s="9">
        <v>9.7500000000000003E-2</v>
      </c>
      <c r="M11" s="9">
        <v>9.2499999999999999E-2</v>
      </c>
      <c r="N11" s="34"/>
      <c r="O11" s="34"/>
      <c r="P11" s="34"/>
      <c r="Q11" s="34"/>
      <c r="R11" s="34"/>
    </row>
    <row r="12" spans="1:18" x14ac:dyDescent="0.2">
      <c r="B12" t="s">
        <v>31</v>
      </c>
      <c r="C12" s="4">
        <v>6.133</v>
      </c>
      <c r="D12" s="4">
        <v>5.4169999999999998</v>
      </c>
      <c r="E12" s="4">
        <v>6.3730000000000002</v>
      </c>
      <c r="F12" s="4">
        <v>6.9909999999999997</v>
      </c>
      <c r="G12" s="4">
        <v>5.6040000000000001</v>
      </c>
      <c r="H12" s="8">
        <f>H10*H11</f>
        <v>8.5465087999999998</v>
      </c>
      <c r="I12" s="8">
        <f t="shared" ref="I12:L12" si="1">I10*I11</f>
        <v>9.3893475000000013</v>
      </c>
      <c r="J12" s="8">
        <f t="shared" si="1"/>
        <v>10.784851</v>
      </c>
      <c r="K12" s="8">
        <f t="shared" si="1"/>
        <v>10.87367483125</v>
      </c>
      <c r="L12" s="8">
        <f t="shared" si="1"/>
        <v>10.873988234484377</v>
      </c>
      <c r="M12" s="8">
        <f>M10*M11</f>
        <v>10.807569616208751</v>
      </c>
      <c r="N12" s="32"/>
      <c r="O12" s="32"/>
      <c r="P12" s="32"/>
      <c r="Q12" s="32"/>
      <c r="R12" s="32"/>
    </row>
    <row r="13" spans="1:18" x14ac:dyDescent="0.2">
      <c r="F13" s="21" t="s">
        <v>32</v>
      </c>
      <c r="G13" s="22"/>
      <c r="H13" s="23">
        <f>H12/(1+$B$37)</f>
        <v>8.0892452720698138</v>
      </c>
      <c r="I13" s="23">
        <f>I12/(1+$B$37)^2</f>
        <v>8.4115093466387307</v>
      </c>
      <c r="J13" s="23">
        <f>J12/(1+$B$37)^3</f>
        <v>9.1447519174584393</v>
      </c>
      <c r="K13" s="23">
        <f>K12/(1+$B$37)^4</f>
        <v>8.7267669878119598</v>
      </c>
      <c r="L13" s="23">
        <f>L12/(1+$B$37)^5</f>
        <v>8.2600971803840917</v>
      </c>
      <c r="M13" s="26">
        <f>(M12/(B37-B39))/(1+B37)^5</f>
        <v>224.75340388654951</v>
      </c>
      <c r="N13" s="32"/>
      <c r="O13" s="32"/>
      <c r="P13" s="32"/>
      <c r="Q13" s="32"/>
      <c r="R13" s="32"/>
    </row>
    <row r="15" spans="1:18" x14ac:dyDescent="0.2">
      <c r="A15" s="19" t="s">
        <v>24</v>
      </c>
      <c r="B15" s="11"/>
    </row>
    <row r="16" spans="1:18" x14ac:dyDescent="0.2">
      <c r="B16" s="13"/>
    </row>
    <row r="17" spans="1:2" x14ac:dyDescent="0.2">
      <c r="A17" t="s">
        <v>11</v>
      </c>
      <c r="B17" s="14">
        <f>Optimistisch!B21</f>
        <v>4.5699999999999998E-2</v>
      </c>
    </row>
    <row r="18" spans="1:2" x14ac:dyDescent="0.2">
      <c r="B18" s="13"/>
    </row>
    <row r="19" spans="1:2" x14ac:dyDescent="0.2">
      <c r="A19" t="s">
        <v>12</v>
      </c>
      <c r="B19" s="14">
        <f>(B21-B17)*B23</f>
        <v>1.6281000000000007E-2</v>
      </c>
    </row>
    <row r="20" spans="1:2" x14ac:dyDescent="0.2">
      <c r="B20" s="13"/>
    </row>
    <row r="21" spans="1:2" x14ac:dyDescent="0.2">
      <c r="A21" t="s">
        <v>13</v>
      </c>
      <c r="B21" s="14">
        <f>Optimistisch!B25</f>
        <v>7.0000000000000007E-2</v>
      </c>
    </row>
    <row r="22" spans="1:2" x14ac:dyDescent="0.2">
      <c r="B22" s="13"/>
    </row>
    <row r="23" spans="1:2" x14ac:dyDescent="0.2">
      <c r="A23" t="s">
        <v>14</v>
      </c>
      <c r="B23" s="15">
        <f>Optimistisch!B27</f>
        <v>0.67</v>
      </c>
    </row>
    <row r="24" spans="1:2" x14ac:dyDescent="0.2">
      <c r="B24" s="13"/>
    </row>
    <row r="25" spans="1:2" x14ac:dyDescent="0.2">
      <c r="A25" s="17" t="s">
        <v>15</v>
      </c>
      <c r="B25" s="18">
        <f>B17+(B21-B17)*B23</f>
        <v>6.1981000000000008E-2</v>
      </c>
    </row>
    <row r="27" spans="1:2" x14ac:dyDescent="0.2">
      <c r="A27" s="25" t="s">
        <v>33</v>
      </c>
      <c r="B27" s="11"/>
    </row>
    <row r="28" spans="1:2" x14ac:dyDescent="0.2">
      <c r="A28" s="12"/>
      <c r="B28" s="13"/>
    </row>
    <row r="29" spans="1:2" x14ac:dyDescent="0.2">
      <c r="A29" s="12" t="s">
        <v>38</v>
      </c>
      <c r="B29" s="15">
        <f>C42</f>
        <v>229.31356005518998</v>
      </c>
    </row>
    <row r="30" spans="1:2" x14ac:dyDescent="0.2">
      <c r="A30" s="12"/>
      <c r="B30" s="13"/>
    </row>
    <row r="31" spans="1:2" x14ac:dyDescent="0.2">
      <c r="A31" s="12" t="s">
        <v>40</v>
      </c>
      <c r="B31" s="15">
        <v>31.314</v>
      </c>
    </row>
    <row r="32" spans="1:2" x14ac:dyDescent="0.2">
      <c r="A32" s="12"/>
      <c r="B32" s="13"/>
    </row>
    <row r="33" spans="1:4" x14ac:dyDescent="0.2">
      <c r="A33" s="12" t="s">
        <v>34</v>
      </c>
      <c r="B33" s="14">
        <v>2.1000000000000001E-2</v>
      </c>
    </row>
    <row r="34" spans="1:4" x14ac:dyDescent="0.2">
      <c r="A34" s="12"/>
      <c r="B34" s="13"/>
    </row>
    <row r="35" spans="1:4" x14ac:dyDescent="0.2">
      <c r="A35" s="12" t="s">
        <v>35</v>
      </c>
      <c r="B35" s="14">
        <v>0.21</v>
      </c>
    </row>
    <row r="36" spans="1:4" x14ac:dyDescent="0.2">
      <c r="A36" s="12"/>
      <c r="B36" s="13"/>
    </row>
    <row r="37" spans="1:4" x14ac:dyDescent="0.2">
      <c r="A37" s="16" t="s">
        <v>36</v>
      </c>
      <c r="B37" s="18">
        <f>B25*(B29/(B29+B31))+B33*(B31/(B29+B31))*(1-B35)</f>
        <v>5.6527341247644684E-2</v>
      </c>
    </row>
    <row r="38" spans="1:4" x14ac:dyDescent="0.2">
      <c r="B38" s="5"/>
    </row>
    <row r="39" spans="1:4" x14ac:dyDescent="0.2">
      <c r="A39" t="s">
        <v>37</v>
      </c>
      <c r="B39" s="5">
        <v>0.02</v>
      </c>
    </row>
    <row r="41" spans="1:4" x14ac:dyDescent="0.2">
      <c r="A41" s="2"/>
      <c r="B41" s="2"/>
      <c r="C41" s="30">
        <f>Optimistisch!C31</f>
        <v>45233</v>
      </c>
      <c r="D41" s="31" t="s">
        <v>16</v>
      </c>
    </row>
    <row r="42" spans="1:4" x14ac:dyDescent="0.2">
      <c r="A42" s="6" t="s">
        <v>17</v>
      </c>
      <c r="B42" s="6" t="s">
        <v>18</v>
      </c>
      <c r="C42" s="8">
        <f>C43*C44</f>
        <v>229.31356005518998</v>
      </c>
      <c r="D42" s="8">
        <f>SUM(H13:M13)-B31</f>
        <v>236.07177459091255</v>
      </c>
    </row>
    <row r="43" spans="1:4" x14ac:dyDescent="0.2">
      <c r="A43" s="6"/>
      <c r="B43" s="6" t="s">
        <v>7</v>
      </c>
      <c r="C43" s="8">
        <f>Optimistisch!C33</f>
        <v>1.374863961</v>
      </c>
      <c r="D43" s="8">
        <f>C43</f>
        <v>1.374863961</v>
      </c>
    </row>
    <row r="44" spans="1:4" x14ac:dyDescent="0.2">
      <c r="A44" s="6"/>
      <c r="B44" s="6" t="s">
        <v>19</v>
      </c>
      <c r="C44" s="8">
        <f>Optimistisch!C34</f>
        <v>166.79</v>
      </c>
      <c r="D44" s="8">
        <f>D42/D43</f>
        <v>171.70555144903719</v>
      </c>
    </row>
    <row r="45" spans="1:4" x14ac:dyDescent="0.2">
      <c r="A45" s="6"/>
      <c r="B45" s="6" t="s">
        <v>20</v>
      </c>
      <c r="C45" s="6"/>
      <c r="D45" s="9">
        <f>IF(C44/D44-1&gt;0,0,C44/D44-1)*-1</f>
        <v>2.8627795709308512E-2</v>
      </c>
    </row>
    <row r="46" spans="1:4" x14ac:dyDescent="0.2">
      <c r="A46" s="6"/>
      <c r="B46" s="6" t="s">
        <v>21</v>
      </c>
      <c r="C46" s="6"/>
      <c r="D46" s="9">
        <f>IF(C44/D44-1&lt;0,0,C44/D44-1)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Optimistisch</vt:lpstr>
      <vt:lpstr>Pessimistisch</vt:lpstr>
      <vt:lpstr>Wachstum für Faire Bewertung</vt:lpstr>
      <vt:lpstr>DCF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Tilman Reichel</dc:creator>
  <cp:lastModifiedBy>Tilman Reichel</cp:lastModifiedBy>
  <dcterms:created xsi:type="dcterms:W3CDTF">2023-11-01T21:06:40Z</dcterms:created>
  <dcterms:modified xsi:type="dcterms:W3CDTF">2023-11-04T00:55:46Z</dcterms:modified>
</cp:coreProperties>
</file>