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lmanreichel/Documents/Wir lieben Aktien/Hexagon/"/>
    </mc:Choice>
  </mc:AlternateContent>
  <xr:revisionPtr revIDLastSave="0" documentId="13_ncr:1_{C098314F-6574-9D42-A661-F77909FD52B7}" xr6:coauthVersionLast="47" xr6:coauthVersionMax="47" xr10:uidLastSave="{00000000-0000-0000-0000-000000000000}"/>
  <bookViews>
    <workbookView xWindow="34520" yWindow="0" windowWidth="34280" windowHeight="28800" xr2:uid="{4D030D5F-AF46-EF49-94E6-2E427342BAB6}"/>
  </bookViews>
  <sheets>
    <sheet name="Optimistisch" sheetId="1" r:id="rId1"/>
    <sheet name="Pessimistisch" sheetId="2" r:id="rId2"/>
    <sheet name="Wachstum für Faire Bewertung" sheetId="3" r:id="rId3"/>
    <sheet name="DCF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H12" i="4"/>
  <c r="B4" i="4"/>
  <c r="B21" i="4"/>
  <c r="C44" i="4"/>
  <c r="C43" i="4"/>
  <c r="D43" i="4" s="1"/>
  <c r="C41" i="4"/>
  <c r="B23" i="4"/>
  <c r="B17" i="4"/>
  <c r="C9" i="4"/>
  <c r="D9" i="4" s="1"/>
  <c r="E9" i="4" s="1"/>
  <c r="F9" i="4" s="1"/>
  <c r="G9" i="4" s="1"/>
  <c r="H9" i="4" s="1"/>
  <c r="I9" i="4" s="1"/>
  <c r="J9" i="4" s="1"/>
  <c r="K9" i="4" s="1"/>
  <c r="L9" i="4" s="1"/>
  <c r="M9" i="4" s="1"/>
  <c r="C10" i="4"/>
  <c r="C11" i="4" s="1"/>
  <c r="D10" i="4"/>
  <c r="D11" i="4" s="1"/>
  <c r="E10" i="4"/>
  <c r="E11" i="4" s="1"/>
  <c r="F10" i="4"/>
  <c r="G10" i="4"/>
  <c r="G11" i="4" s="1"/>
  <c r="F11" i="4"/>
  <c r="J10" i="4"/>
  <c r="J12" i="4" s="1"/>
  <c r="I10" i="4"/>
  <c r="I12" i="4" s="1"/>
  <c r="H10" i="4"/>
  <c r="B6" i="4"/>
  <c r="B6" i="3"/>
  <c r="B6" i="2"/>
  <c r="B25" i="4" l="1"/>
  <c r="C42" i="4"/>
  <c r="B29" i="4" s="1"/>
  <c r="B19" i="4"/>
  <c r="B37" i="4" l="1"/>
  <c r="H13" i="4" s="1"/>
  <c r="J13" i="4" l="1"/>
  <c r="I13" i="4"/>
  <c r="A15" i="3"/>
  <c r="D48" i="2"/>
  <c r="D48" i="3"/>
  <c r="D44" i="3"/>
  <c r="H15" i="3"/>
  <c r="A14" i="3"/>
  <c r="R11" i="3"/>
  <c r="K12" i="3"/>
  <c r="L12" i="3"/>
  <c r="M12" i="3"/>
  <c r="N12" i="3"/>
  <c r="O12" i="3"/>
  <c r="P12" i="3"/>
  <c r="Q12" i="3"/>
  <c r="R12" i="3"/>
  <c r="J11" i="3"/>
  <c r="K11" i="3"/>
  <c r="L11" i="3"/>
  <c r="M11" i="3"/>
  <c r="N11" i="3"/>
  <c r="O11" i="3"/>
  <c r="P11" i="3"/>
  <c r="Q11" i="3"/>
  <c r="I11" i="3"/>
  <c r="C34" i="3"/>
  <c r="C33" i="3"/>
  <c r="C32" i="3" s="1"/>
  <c r="C31" i="3"/>
  <c r="B27" i="3"/>
  <c r="B25" i="3"/>
  <c r="B21" i="3"/>
  <c r="G14" i="3"/>
  <c r="F14" i="3"/>
  <c r="E14" i="3"/>
  <c r="D14" i="3"/>
  <c r="C14" i="3"/>
  <c r="G13" i="3"/>
  <c r="F13" i="3"/>
  <c r="E13" i="3"/>
  <c r="D13" i="3"/>
  <c r="C13" i="3"/>
  <c r="C12" i="3" s="1"/>
  <c r="G10" i="3"/>
  <c r="H10" i="3" s="1"/>
  <c r="F10" i="3"/>
  <c r="G11" i="3" s="1"/>
  <c r="E10" i="3"/>
  <c r="D10" i="3"/>
  <c r="C10" i="3"/>
  <c r="C9" i="3"/>
  <c r="D9" i="3" s="1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B4" i="3"/>
  <c r="A42" i="2"/>
  <c r="B27" i="2"/>
  <c r="B25" i="2"/>
  <c r="B21" i="2"/>
  <c r="C34" i="2"/>
  <c r="C33" i="2"/>
  <c r="H15" i="2" s="1"/>
  <c r="C31" i="2"/>
  <c r="J14" i="2"/>
  <c r="I14" i="2"/>
  <c r="H14" i="2"/>
  <c r="I13" i="2"/>
  <c r="I12" i="2" s="1"/>
  <c r="J13" i="2"/>
  <c r="H13" i="2"/>
  <c r="D13" i="2"/>
  <c r="E13" i="2"/>
  <c r="F13" i="2"/>
  <c r="G13" i="2"/>
  <c r="D14" i="2"/>
  <c r="E14" i="2"/>
  <c r="F14" i="2"/>
  <c r="G14" i="2"/>
  <c r="C14" i="2"/>
  <c r="C13" i="2"/>
  <c r="I10" i="2"/>
  <c r="J10" i="2"/>
  <c r="H10" i="2"/>
  <c r="D10" i="2"/>
  <c r="D11" i="2" s="1"/>
  <c r="E10" i="2"/>
  <c r="E11" i="2" s="1"/>
  <c r="F10" i="2"/>
  <c r="G10" i="2"/>
  <c r="C10" i="2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N9" i="2" s="1"/>
  <c r="O9" i="2" s="1"/>
  <c r="P9" i="2" s="1"/>
  <c r="Q9" i="2" s="1"/>
  <c r="R9" i="2" s="1"/>
  <c r="B4" i="2"/>
  <c r="J11" i="2"/>
  <c r="I11" i="2"/>
  <c r="K10" i="2"/>
  <c r="K13" i="2" s="1"/>
  <c r="K14" i="2" s="1"/>
  <c r="D12" i="3" l="1"/>
  <c r="E12" i="3"/>
  <c r="C12" i="2"/>
  <c r="E12" i="2"/>
  <c r="G12" i="3"/>
  <c r="G11" i="2"/>
  <c r="D12" i="2"/>
  <c r="D11" i="3"/>
  <c r="J12" i="2"/>
  <c r="A40" i="2"/>
  <c r="F12" i="3"/>
  <c r="B29" i="3"/>
  <c r="I10" i="3"/>
  <c r="A42" i="3"/>
  <c r="A54" i="3"/>
  <c r="A40" i="3"/>
  <c r="A52" i="3"/>
  <c r="A50" i="3"/>
  <c r="R9" i="3"/>
  <c r="F11" i="3"/>
  <c r="I15" i="3"/>
  <c r="J15" i="3" s="1"/>
  <c r="B23" i="3"/>
  <c r="D33" i="3"/>
  <c r="E11" i="3"/>
  <c r="I15" i="2"/>
  <c r="I16" i="2" s="1"/>
  <c r="C32" i="2"/>
  <c r="B23" i="2"/>
  <c r="B29" i="2"/>
  <c r="J17" i="2" s="1"/>
  <c r="D33" i="2"/>
  <c r="H16" i="2"/>
  <c r="H12" i="2"/>
  <c r="F12" i="2"/>
  <c r="L10" i="2"/>
  <c r="M10" i="2" s="1"/>
  <c r="M13" i="2" s="1"/>
  <c r="M14" i="2" s="1"/>
  <c r="H11" i="2"/>
  <c r="G12" i="2"/>
  <c r="F11" i="2"/>
  <c r="A54" i="2"/>
  <c r="A52" i="2"/>
  <c r="A50" i="2"/>
  <c r="L13" i="2" l="1"/>
  <c r="L14" i="2" s="1"/>
  <c r="L17" i="2" s="1"/>
  <c r="N10" i="2"/>
  <c r="O10" i="2" s="1"/>
  <c r="J10" i="3"/>
  <c r="I17" i="2"/>
  <c r="H17" i="2"/>
  <c r="K17" i="2"/>
  <c r="K15" i="3"/>
  <c r="L15" i="3" s="1"/>
  <c r="M15" i="3" s="1"/>
  <c r="N15" i="3" s="1"/>
  <c r="O15" i="3" s="1"/>
  <c r="P15" i="3" s="1"/>
  <c r="Q15" i="3" s="1"/>
  <c r="J15" i="2"/>
  <c r="J16" i="2" s="1"/>
  <c r="M17" i="2"/>
  <c r="N13" i="2" l="1"/>
  <c r="N14" i="2" s="1"/>
  <c r="N17" i="2" s="1"/>
  <c r="K15" i="2"/>
  <c r="L15" i="2" s="1"/>
  <c r="K16" i="2"/>
  <c r="P10" i="2"/>
  <c r="O13" i="2"/>
  <c r="O14" i="2" s="1"/>
  <c r="P13" i="2" l="1"/>
  <c r="P14" i="2" s="1"/>
  <c r="Q10" i="2"/>
  <c r="M15" i="2"/>
  <c r="L16" i="2"/>
  <c r="O17" i="2"/>
  <c r="P17" i="2" l="1"/>
  <c r="N15" i="2"/>
  <c r="M16" i="2"/>
  <c r="Q13" i="2"/>
  <c r="Q14" i="2" s="1"/>
  <c r="R10" i="2"/>
  <c r="R13" i="2" s="1"/>
  <c r="R14" i="2" s="1"/>
  <c r="R17" i="2" s="1"/>
  <c r="Q17" i="2" l="1"/>
  <c r="D32" i="2" s="1"/>
  <c r="D34" i="2" s="1"/>
  <c r="O15" i="2"/>
  <c r="N16" i="2"/>
  <c r="D36" i="2" l="1"/>
  <c r="D35" i="2"/>
  <c r="P15" i="2"/>
  <c r="O16" i="2"/>
  <c r="Q15" i="2" l="1"/>
  <c r="Q16" i="2" s="1"/>
  <c r="P16" i="2"/>
  <c r="D42" i="2" l="1"/>
  <c r="D46" i="2"/>
  <c r="D50" i="2" l="1"/>
  <c r="D54" i="2" s="1"/>
  <c r="D52" i="2" l="1"/>
  <c r="C32" i="1"/>
  <c r="D33" i="1" l="1"/>
  <c r="H15" i="1"/>
  <c r="I15" i="1" s="1"/>
  <c r="B29" i="1"/>
  <c r="B23" i="1"/>
  <c r="K10" i="1"/>
  <c r="D12" i="1"/>
  <c r="E12" i="1"/>
  <c r="F12" i="1"/>
  <c r="G12" i="1"/>
  <c r="H12" i="1"/>
  <c r="H12" i="3" s="1"/>
  <c r="H13" i="3" s="1"/>
  <c r="H14" i="3" s="1"/>
  <c r="I12" i="1"/>
  <c r="I12" i="3" s="1"/>
  <c r="I13" i="3" s="1"/>
  <c r="I14" i="3" s="1"/>
  <c r="J12" i="1"/>
  <c r="J12" i="3" s="1"/>
  <c r="J13" i="3" s="1"/>
  <c r="J14" i="3" s="1"/>
  <c r="C12" i="1"/>
  <c r="H11" i="1"/>
  <c r="I11" i="1"/>
  <c r="J11" i="1"/>
  <c r="E11" i="1"/>
  <c r="F11" i="1"/>
  <c r="G11" i="1"/>
  <c r="D11" i="1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l="1"/>
  <c r="A42" i="1"/>
  <c r="K13" i="1"/>
  <c r="K14" i="1" s="1"/>
  <c r="K17" i="1" s="1"/>
  <c r="K10" i="4"/>
  <c r="K12" i="4" s="1"/>
  <c r="K13" i="4" s="1"/>
  <c r="J16" i="3"/>
  <c r="J17" i="3"/>
  <c r="I16" i="3"/>
  <c r="I17" i="3"/>
  <c r="H16" i="3"/>
  <c r="H17" i="3"/>
  <c r="H16" i="1"/>
  <c r="I16" i="1"/>
  <c r="J15" i="1"/>
  <c r="A40" i="1"/>
  <c r="H17" i="1"/>
  <c r="A50" i="1"/>
  <c r="I17" i="1"/>
  <c r="J17" i="1"/>
  <c r="A52" i="1"/>
  <c r="A54" i="1"/>
  <c r="L10" i="1"/>
  <c r="L10" i="4" s="1"/>
  <c r="L12" i="4" s="1"/>
  <c r="L13" i="4" s="1"/>
  <c r="K15" i="1" l="1"/>
  <c r="J16" i="1"/>
  <c r="M10" i="1"/>
  <c r="M10" i="4" s="1"/>
  <c r="M12" i="4" s="1"/>
  <c r="M13" i="4" s="1"/>
  <c r="D42" i="4" s="1"/>
  <c r="D44" i="4" s="1"/>
  <c r="L13" i="1"/>
  <c r="L14" i="1" s="1"/>
  <c r="D46" i="4" l="1"/>
  <c r="D45" i="4"/>
  <c r="L15" i="1"/>
  <c r="M15" i="1" s="1"/>
  <c r="N15" i="1" s="1"/>
  <c r="O15" i="1" s="1"/>
  <c r="P15" i="1" s="1"/>
  <c r="Q15" i="1" s="1"/>
  <c r="K16" i="1"/>
  <c r="L17" i="1"/>
  <c r="N10" i="1"/>
  <c r="M13" i="1"/>
  <c r="M14" i="1" s="1"/>
  <c r="L16" i="1" l="1"/>
  <c r="M16" i="1"/>
  <c r="M17" i="1"/>
  <c r="O10" i="1"/>
  <c r="N13" i="1"/>
  <c r="N14" i="1" s="1"/>
  <c r="N16" i="1" l="1"/>
  <c r="N17" i="1"/>
  <c r="P10" i="1"/>
  <c r="O13" i="1"/>
  <c r="O14" i="1" s="1"/>
  <c r="O16" i="1" l="1"/>
  <c r="O17" i="1"/>
  <c r="Q10" i="1"/>
  <c r="P13" i="1"/>
  <c r="P14" i="1" s="1"/>
  <c r="P16" i="1" l="1"/>
  <c r="P17" i="1"/>
  <c r="R10" i="1"/>
  <c r="R13" i="1" s="1"/>
  <c r="R14" i="1" s="1"/>
  <c r="R17" i="1" s="1"/>
  <c r="Q13" i="1"/>
  <c r="Q14" i="1" s="1"/>
  <c r="Q17" i="1" l="1"/>
  <c r="D32" i="1" s="1"/>
  <c r="D34" i="1" s="1"/>
  <c r="D35" i="1" s="1"/>
  <c r="Q16" i="1"/>
  <c r="D36" i="1" l="1"/>
  <c r="D42" i="1"/>
  <c r="D46" i="1"/>
  <c r="D50" i="1" l="1"/>
  <c r="D54" i="1" s="1"/>
  <c r="D52" i="1" l="1"/>
  <c r="K10" i="3"/>
  <c r="L10" i="3" s="1"/>
  <c r="K13" i="3"/>
  <c r="K14" i="3" s="1"/>
  <c r="K17" i="3" s="1"/>
  <c r="L13" i="3" l="1"/>
  <c r="L14" i="3" s="1"/>
  <c r="M10" i="3"/>
  <c r="K16" i="3"/>
  <c r="M13" i="3" l="1"/>
  <c r="M14" i="3" s="1"/>
  <c r="N10" i="3"/>
  <c r="L17" i="3"/>
  <c r="L16" i="3"/>
  <c r="N13" i="3" l="1"/>
  <c r="N14" i="3" s="1"/>
  <c r="O10" i="3"/>
  <c r="M16" i="3"/>
  <c r="M17" i="3"/>
  <c r="P10" i="3" l="1"/>
  <c r="O13" i="3"/>
  <c r="O14" i="3" s="1"/>
  <c r="N16" i="3"/>
  <c r="N17" i="3"/>
  <c r="O16" i="3" l="1"/>
  <c r="O17" i="3"/>
  <c r="P13" i="3"/>
  <c r="P14" i="3" s="1"/>
  <c r="Q10" i="3"/>
  <c r="Q13" i="3" l="1"/>
  <c r="Q14" i="3" s="1"/>
  <c r="R10" i="3"/>
  <c r="R13" i="3" s="1"/>
  <c r="R14" i="3" s="1"/>
  <c r="R17" i="3" s="1"/>
  <c r="P17" i="3"/>
  <c r="P16" i="3"/>
  <c r="Q16" i="3" l="1"/>
  <c r="Q17" i="3"/>
  <c r="D32" i="3" s="1"/>
  <c r="D34" i="3" s="1"/>
  <c r="D42" i="3" l="1"/>
  <c r="D46" i="3"/>
  <c r="D36" i="3"/>
  <c r="D35" i="3"/>
  <c r="D50" i="3" l="1"/>
  <c r="D54" i="3" l="1"/>
  <c r="D52" i="3"/>
</calcChain>
</file>

<file path=xl/sharedStrings.xml><?xml version="1.0" encoding="utf-8"?>
<sst xmlns="http://schemas.openxmlformats.org/spreadsheetml/2006/main" count="118" uniqueCount="41">
  <si>
    <t>Discounted Net-Profit Modell</t>
  </si>
  <si>
    <t>Alle Angaben in Mrd.</t>
  </si>
  <si>
    <t>Umsatz</t>
  </si>
  <si>
    <t>Umsatzwachstum</t>
  </si>
  <si>
    <t>EBIT Marge</t>
  </si>
  <si>
    <t>EBIT</t>
  </si>
  <si>
    <t>Gewinn (abzgl. Steuern, Zinsen)</t>
  </si>
  <si>
    <t>Anzahl an Aktien</t>
  </si>
  <si>
    <t>Gewinn je Aktie</t>
  </si>
  <si>
    <t>Schätzungen »</t>
  </si>
  <si>
    <t>-</t>
  </si>
  <si>
    <t>Risikoloser Basiszins:</t>
  </si>
  <si>
    <t>Risikoprämie:</t>
  </si>
  <si>
    <t>Marktrendite:</t>
  </si>
  <si>
    <t>Beta-Faktor:</t>
  </si>
  <si>
    <t>Eigenkapitalkosten:</t>
  </si>
  <si>
    <t>Fairer Wert</t>
  </si>
  <si>
    <t>Bewertung</t>
  </si>
  <si>
    <t>Marktkapitalisierung</t>
  </si>
  <si>
    <t>Kurs je Aktie</t>
  </si>
  <si>
    <t>Unterbewertung</t>
  </si>
  <si>
    <t>Überbewertung</t>
  </si>
  <si>
    <t>Abgezinster Gewinn</t>
  </si>
  <si>
    <t>Berechnung der Renditeerwartung:</t>
  </si>
  <si>
    <t>Berechnung der Eigenkapitalkosten:</t>
  </si>
  <si>
    <t>Durchschnittliche Ausschüttungsquote:</t>
  </si>
  <si>
    <t>Ausgeschüttete Gewinne:</t>
  </si>
  <si>
    <t>Quellensteuer</t>
  </si>
  <si>
    <t>Anzahl an Aktien (abzgl. Aktienrückkäufe)</t>
  </si>
  <si>
    <t>Discounted Cashflow Modell</t>
  </si>
  <si>
    <t>Free Cashflow Marge</t>
  </si>
  <si>
    <t>Free Cashflow</t>
  </si>
  <si>
    <t>Abgezinster Free Cashflow</t>
  </si>
  <si>
    <t>Berechnung der WACC:</t>
  </si>
  <si>
    <t>Zinsrate (durchschnittlich):</t>
  </si>
  <si>
    <t>Steuerrate (durchschnittlich):</t>
  </si>
  <si>
    <t>WACC:</t>
  </si>
  <si>
    <t>Wachstumsabschlag:</t>
  </si>
  <si>
    <t>Marktkapitalisierung:</t>
  </si>
  <si>
    <t>Verzinstes Fremdkapital:</t>
  </si>
  <si>
    <t>Annahmen für Hexagon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</si>
</sst>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1" fillId="2" borderId="0" xfId="0" applyFont="1" applyFill="1"/>
    <xf numFmtId="2" fontId="0" fillId="0" borderId="0" xfId="0" applyNumberFormat="1"/>
    <xf numFmtId="10" fontId="0" fillId="0" borderId="0" xfId="0" applyNumberFormat="1"/>
    <xf numFmtId="0" fontId="0" fillId="3" borderId="0" xfId="0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0" fontId="0" fillId="3" borderId="0" xfId="0" applyNumberForma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0" fontId="0" fillId="0" borderId="5" xfId="0" applyNumberFormat="1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10" fontId="0" fillId="0" borderId="8" xfId="0" applyNumberFormat="1" applyBorder="1"/>
    <xf numFmtId="0" fontId="2" fillId="0" borderId="2" xfId="0" applyFont="1" applyBorder="1"/>
    <xf numFmtId="0" fontId="3" fillId="0" borderId="0" xfId="0" applyFont="1"/>
    <xf numFmtId="0" fontId="0" fillId="0" borderId="9" xfId="0" applyBorder="1"/>
    <xf numFmtId="0" fontId="0" fillId="0" borderId="10" xfId="0" applyBorder="1"/>
    <xf numFmtId="2" fontId="0" fillId="4" borderId="10" xfId="0" applyNumberFormat="1" applyFill="1" applyBorder="1"/>
    <xf numFmtId="0" fontId="0" fillId="4" borderId="0" xfId="0" applyFill="1"/>
    <xf numFmtId="0" fontId="2" fillId="0" borderId="1" xfId="0" applyFont="1" applyBorder="1"/>
    <xf numFmtId="2" fontId="0" fillId="4" borderId="11" xfId="0" applyNumberFormat="1" applyFill="1" applyBorder="1"/>
    <xf numFmtId="0" fontId="0" fillId="3" borderId="6" xfId="0" applyFill="1" applyBorder="1"/>
    <xf numFmtId="0" fontId="0" fillId="3" borderId="7" xfId="0" applyFill="1" applyBorder="1"/>
    <xf numFmtId="10" fontId="0" fillId="3" borderId="8" xfId="0" applyNumberFormat="1" applyFill="1" applyBorder="1"/>
    <xf numFmtId="1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C8DC1-CC71-A848-BEC7-DC901284256A}">
  <dimension ref="A1:S65"/>
  <sheetViews>
    <sheetView showGridLines="0" showRowColHeaders="0" tabSelected="1" workbookViewId="0"/>
  </sheetViews>
  <sheetFormatPr baseColWidth="10" defaultColWidth="0" defaultRowHeight="16" zeroHeight="1" x14ac:dyDescent="0.2"/>
  <cols>
    <col min="1" max="1" width="22.5" customWidth="1"/>
    <col min="2" max="2" width="35" customWidth="1"/>
    <col min="3" max="18" width="13.33203125" customWidth="1"/>
    <col min="19" max="19" width="10.83203125" customWidth="1"/>
    <col min="20" max="16384" width="10.83203125" hidden="1"/>
  </cols>
  <sheetData>
    <row r="1" spans="1:18" x14ac:dyDescent="0.2"/>
    <row r="2" spans="1:18" ht="26" x14ac:dyDescent="0.3">
      <c r="B2" s="20" t="s">
        <v>0</v>
      </c>
    </row>
    <row r="3" spans="1:18" x14ac:dyDescent="0.2"/>
    <row r="4" spans="1:18" x14ac:dyDescent="0.2">
      <c r="B4" t="s">
        <v>40</v>
      </c>
    </row>
    <row r="5" spans="1:18" x14ac:dyDescent="0.2"/>
    <row r="6" spans="1:18" x14ac:dyDescent="0.2">
      <c r="B6" t="s">
        <v>1</v>
      </c>
    </row>
    <row r="7" spans="1:18" x14ac:dyDescent="0.2"/>
    <row r="8" spans="1:18" x14ac:dyDescent="0.2">
      <c r="A8" s="2"/>
      <c r="B8" s="2"/>
      <c r="C8" s="2"/>
      <c r="D8" s="2"/>
      <c r="E8" s="2"/>
      <c r="F8" s="2"/>
      <c r="G8" s="2"/>
      <c r="H8" s="3" t="s">
        <v>9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C9">
        <v>2018</v>
      </c>
      <c r="D9">
        <f>C9+1</f>
        <v>2019</v>
      </c>
      <c r="E9">
        <f t="shared" ref="E9:Q9" si="0">D9+1</f>
        <v>2020</v>
      </c>
      <c r="F9">
        <f t="shared" si="0"/>
        <v>2021</v>
      </c>
      <c r="G9">
        <f t="shared" si="0"/>
        <v>2022</v>
      </c>
      <c r="H9" s="6">
        <f t="shared" si="0"/>
        <v>2023</v>
      </c>
      <c r="I9" s="6">
        <f t="shared" si="0"/>
        <v>2024</v>
      </c>
      <c r="J9" s="6">
        <f t="shared" si="0"/>
        <v>2025</v>
      </c>
      <c r="K9" s="6">
        <f t="shared" si="0"/>
        <v>2026</v>
      </c>
      <c r="L9" s="6">
        <f t="shared" si="0"/>
        <v>2027</v>
      </c>
      <c r="M9" s="6">
        <f t="shared" si="0"/>
        <v>2028</v>
      </c>
      <c r="N9" s="6">
        <f t="shared" si="0"/>
        <v>2029</v>
      </c>
      <c r="O9" s="6">
        <f t="shared" si="0"/>
        <v>2030</v>
      </c>
      <c r="P9" s="6">
        <f t="shared" si="0"/>
        <v>2031</v>
      </c>
      <c r="Q9" s="6">
        <f t="shared" si="0"/>
        <v>2032</v>
      </c>
      <c r="R9" s="7" t="str">
        <f>Q9+1&amp;"ff."</f>
        <v>2033ff.</v>
      </c>
    </row>
    <row r="10" spans="1:18" x14ac:dyDescent="0.2">
      <c r="B10" t="s">
        <v>2</v>
      </c>
      <c r="C10" s="4">
        <v>3.7606999999999999</v>
      </c>
      <c r="D10" s="4">
        <v>3.9077000000000002</v>
      </c>
      <c r="E10" s="4">
        <v>3.7644000000000002</v>
      </c>
      <c r="F10" s="4">
        <v>4.3411</v>
      </c>
      <c r="G10" s="4">
        <v>5.1604999999999999</v>
      </c>
      <c r="H10" s="8">
        <v>5.46</v>
      </c>
      <c r="I10" s="8">
        <v>5.7839999999999998</v>
      </c>
      <c r="J10" s="8">
        <v>6.1980000000000004</v>
      </c>
      <c r="K10" s="8">
        <f>J10*(1+K11)</f>
        <v>6.7558200000000008</v>
      </c>
      <c r="L10" s="8">
        <f t="shared" ref="L10:R10" si="1">K10*(1+L11)</f>
        <v>7.2625065000000006</v>
      </c>
      <c r="M10" s="8">
        <f t="shared" si="1"/>
        <v>7.7345694224999999</v>
      </c>
      <c r="N10" s="8">
        <f t="shared" si="1"/>
        <v>8.1986435878500004</v>
      </c>
      <c r="O10" s="8">
        <f t="shared" si="1"/>
        <v>8.6495689851817499</v>
      </c>
      <c r="P10" s="8">
        <f t="shared" si="1"/>
        <v>9.1252952793667461</v>
      </c>
      <c r="Q10" s="8">
        <f t="shared" si="1"/>
        <v>9.5815600433350845</v>
      </c>
      <c r="R10" s="8">
        <f t="shared" si="1"/>
        <v>9.7731912442017865</v>
      </c>
    </row>
    <row r="11" spans="1:18" x14ac:dyDescent="0.2">
      <c r="B11" t="s">
        <v>3</v>
      </c>
      <c r="C11" s="1" t="s">
        <v>10</v>
      </c>
      <c r="D11" s="5">
        <f>D10/C10-1</f>
        <v>3.9088467572526486E-2</v>
      </c>
      <c r="E11" s="5">
        <f t="shared" ref="E11:G11" si="2">E10/D10-1</f>
        <v>-3.6671187655142434E-2</v>
      </c>
      <c r="F11" s="5">
        <f t="shared" si="2"/>
        <v>0.15319838486877058</v>
      </c>
      <c r="G11" s="5">
        <f t="shared" si="2"/>
        <v>0.18875400244177731</v>
      </c>
      <c r="H11" s="9">
        <f t="shared" ref="H11" si="3">H10/G10-1</f>
        <v>5.803701191744981E-2</v>
      </c>
      <c r="I11" s="9">
        <f t="shared" ref="I11" si="4">I10/H10-1</f>
        <v>5.9340659340659352E-2</v>
      </c>
      <c r="J11" s="9">
        <f t="shared" ref="J11" si="5">J10/I10-1</f>
        <v>7.1576763485477368E-2</v>
      </c>
      <c r="K11" s="9">
        <v>0.09</v>
      </c>
      <c r="L11" s="9">
        <v>7.4999999999999997E-2</v>
      </c>
      <c r="M11" s="9">
        <v>6.5000000000000002E-2</v>
      </c>
      <c r="N11" s="9">
        <v>0.06</v>
      </c>
      <c r="O11" s="9">
        <v>5.5E-2</v>
      </c>
      <c r="P11" s="9">
        <v>5.5E-2</v>
      </c>
      <c r="Q11" s="9">
        <v>0.05</v>
      </c>
      <c r="R11" s="9">
        <v>0.02</v>
      </c>
    </row>
    <row r="12" spans="1:18" x14ac:dyDescent="0.2">
      <c r="B12" t="s">
        <v>4</v>
      </c>
      <c r="C12" s="5">
        <f>C13/C10</f>
        <v>0.24599143776424603</v>
      </c>
      <c r="D12" s="5">
        <f t="shared" ref="D12:J12" si="6">D13/D10</f>
        <v>0.22831844819203109</v>
      </c>
      <c r="E12" s="5">
        <f t="shared" si="6"/>
        <v>0.20906386143874189</v>
      </c>
      <c r="F12" s="5">
        <f t="shared" si="6"/>
        <v>0.23261385363156806</v>
      </c>
      <c r="G12" s="5">
        <f t="shared" si="6"/>
        <v>0.24933630462164519</v>
      </c>
      <c r="H12" s="9">
        <f t="shared" si="6"/>
        <v>0.24679999999999996</v>
      </c>
      <c r="I12" s="9">
        <f t="shared" si="6"/>
        <v>0.251</v>
      </c>
      <c r="J12" s="9">
        <f t="shared" si="6"/>
        <v>0.25440000000000002</v>
      </c>
      <c r="K12" s="9">
        <v>0.255</v>
      </c>
      <c r="L12" s="9">
        <v>0.25750000000000001</v>
      </c>
      <c r="M12" s="9">
        <v>0.26</v>
      </c>
      <c r="N12" s="9">
        <v>0.22</v>
      </c>
      <c r="O12" s="9">
        <v>0.255</v>
      </c>
      <c r="P12" s="9">
        <v>0.26</v>
      </c>
      <c r="Q12" s="9">
        <v>0.26500000000000001</v>
      </c>
      <c r="R12" s="9">
        <v>0.26500000000000001</v>
      </c>
    </row>
    <row r="13" spans="1:18" x14ac:dyDescent="0.2">
      <c r="B13" t="s">
        <v>5</v>
      </c>
      <c r="C13" s="4">
        <v>0.92510000000000003</v>
      </c>
      <c r="D13" s="4">
        <v>0.89219999999999999</v>
      </c>
      <c r="E13" s="4">
        <v>0.78700000000000003</v>
      </c>
      <c r="F13" s="4">
        <v>1.0098</v>
      </c>
      <c r="G13" s="4">
        <v>1.2867</v>
      </c>
      <c r="H13" s="8">
        <v>1.3475279999999998</v>
      </c>
      <c r="I13" s="8">
        <v>1.451784</v>
      </c>
      <c r="J13" s="8">
        <v>1.5767712000000003</v>
      </c>
      <c r="K13" s="8">
        <f>K10*K12</f>
        <v>1.7227341000000003</v>
      </c>
      <c r="L13" s="8">
        <f t="shared" ref="L13:R13" si="7">L10*L12</f>
        <v>1.8700954237500003</v>
      </c>
      <c r="M13" s="8">
        <f t="shared" si="7"/>
        <v>2.0109880498499999</v>
      </c>
      <c r="N13" s="8">
        <f t="shared" si="7"/>
        <v>1.8037015893270001</v>
      </c>
      <c r="O13" s="8">
        <f t="shared" si="7"/>
        <v>2.2056400912213463</v>
      </c>
      <c r="P13" s="8">
        <f t="shared" si="7"/>
        <v>2.3725767726353539</v>
      </c>
      <c r="Q13" s="8">
        <f t="shared" si="7"/>
        <v>2.5391134114837977</v>
      </c>
      <c r="R13" s="8">
        <f t="shared" si="7"/>
        <v>2.5898956797134733</v>
      </c>
    </row>
    <row r="14" spans="1:18" x14ac:dyDescent="0.2">
      <c r="A14" s="9">
        <v>0.2</v>
      </c>
      <c r="B14" t="s">
        <v>6</v>
      </c>
      <c r="C14" s="4">
        <v>0.73</v>
      </c>
      <c r="D14" s="4">
        <v>0.70240000000000002</v>
      </c>
      <c r="E14" s="4">
        <v>0.61809999999999998</v>
      </c>
      <c r="F14" s="4">
        <v>0.80159999999999998</v>
      </c>
      <c r="G14" s="4">
        <v>1.0076000000000001</v>
      </c>
      <c r="H14" s="8">
        <v>0.87906000000000006</v>
      </c>
      <c r="I14" s="8">
        <v>1.116312</v>
      </c>
      <c r="J14" s="8">
        <v>1.264392</v>
      </c>
      <c r="K14" s="8">
        <f>K13*(1-$A$14)</f>
        <v>1.3781872800000003</v>
      </c>
      <c r="L14" s="8">
        <f t="shared" ref="L14:R14" si="8">L13*(1-$A$14)</f>
        <v>1.4960763390000003</v>
      </c>
      <c r="M14" s="8">
        <f t="shared" si="8"/>
        <v>1.6087904398799999</v>
      </c>
      <c r="N14" s="8">
        <f t="shared" si="8"/>
        <v>1.4429612714616002</v>
      </c>
      <c r="O14" s="8">
        <f t="shared" si="8"/>
        <v>1.7645120729770771</v>
      </c>
      <c r="P14" s="8">
        <f t="shared" si="8"/>
        <v>1.8980614181082833</v>
      </c>
      <c r="Q14" s="8">
        <f t="shared" si="8"/>
        <v>2.0312907291870381</v>
      </c>
      <c r="R14" s="8">
        <f t="shared" si="8"/>
        <v>2.0719165437707789</v>
      </c>
    </row>
    <row r="15" spans="1:18" x14ac:dyDescent="0.2">
      <c r="A15" s="9">
        <v>0.99</v>
      </c>
      <c r="B15" t="s">
        <v>28</v>
      </c>
      <c r="H15" s="8">
        <f>C33</f>
        <v>2.6843780000000002</v>
      </c>
      <c r="I15" s="8">
        <f>H15*$A$15</f>
        <v>2.6575342200000001</v>
      </c>
      <c r="J15" s="8">
        <f t="shared" ref="J15:Q15" si="9">I15*$A$15</f>
        <v>2.6309588777999999</v>
      </c>
      <c r="K15" s="8">
        <f t="shared" si="9"/>
        <v>2.6046492890219999</v>
      </c>
      <c r="L15" s="8">
        <f t="shared" si="9"/>
        <v>2.5786027961317797</v>
      </c>
      <c r="M15" s="8">
        <f t="shared" si="9"/>
        <v>2.5528167681704619</v>
      </c>
      <c r="N15" s="8">
        <f t="shared" si="9"/>
        <v>2.5272886004887574</v>
      </c>
      <c r="O15" s="8">
        <f t="shared" si="9"/>
        <v>2.5020157144838699</v>
      </c>
      <c r="P15" s="8">
        <f t="shared" si="9"/>
        <v>2.4769955573390314</v>
      </c>
      <c r="Q15" s="8">
        <f t="shared" si="9"/>
        <v>2.4522256017656412</v>
      </c>
      <c r="R15" s="7" t="s">
        <v>10</v>
      </c>
    </row>
    <row r="16" spans="1:18" x14ac:dyDescent="0.2">
      <c r="B16" t="s">
        <v>8</v>
      </c>
      <c r="H16" s="8">
        <f>H14/H15</f>
        <v>0.3274725094602921</v>
      </c>
      <c r="I16" s="8">
        <f t="shared" ref="I16:P16" si="10">I14/I15</f>
        <v>0.42005555059230804</v>
      </c>
      <c r="J16" s="8">
        <f t="shared" si="10"/>
        <v>0.48058219787048928</v>
      </c>
      <c r="K16" s="8">
        <f t="shared" si="10"/>
        <v>0.52912585422104386</v>
      </c>
      <c r="L16" s="8">
        <f t="shared" si="10"/>
        <v>0.5801887523135778</v>
      </c>
      <c r="M16" s="8">
        <f t="shared" si="10"/>
        <v>0.63020208106552777</v>
      </c>
      <c r="N16" s="8">
        <f t="shared" si="10"/>
        <v>0.57095231276022185</v>
      </c>
      <c r="O16" s="8">
        <f t="shared" si="10"/>
        <v>0.70523620725582481</v>
      </c>
      <c r="P16" s="8">
        <f t="shared" si="10"/>
        <v>0.76627566508327483</v>
      </c>
      <c r="Q16" s="8">
        <f>Q14/Q15</f>
        <v>0.82834578014538174</v>
      </c>
      <c r="R16" s="7" t="s">
        <v>10</v>
      </c>
    </row>
    <row r="17" spans="1:18" x14ac:dyDescent="0.2">
      <c r="F17" s="21" t="s">
        <v>22</v>
      </c>
      <c r="G17" s="22"/>
      <c r="H17" s="23">
        <f>H14/(1+$B$29)</f>
        <v>0.81020698960904414</v>
      </c>
      <c r="I17" s="23">
        <f>I14/(1+$B$29)^2</f>
        <v>0.94828859380766506</v>
      </c>
      <c r="J17" s="23">
        <f>J14/(1+$B$29)^3</f>
        <v>0.98995200507437009</v>
      </c>
      <c r="K17" s="23">
        <f>K14/(1+$B$29)^4</f>
        <v>0.99453049500458401</v>
      </c>
      <c r="L17" s="23">
        <f>L14/(1+$B$29)^5</f>
        <v>0.99504125738801052</v>
      </c>
      <c r="M17" s="23">
        <f>M14/(1+$B$29)^6</f>
        <v>0.98619836320577503</v>
      </c>
      <c r="N17" s="23">
        <f>N14/(1+$B$29)^7</f>
        <v>0.81526151621227461</v>
      </c>
      <c r="O17" s="23">
        <f>O14/(1+$B$29)^8</f>
        <v>0.91884946813113089</v>
      </c>
      <c r="P17" s="23">
        <f>P14/(1+$B$29)^9</f>
        <v>0.9109771048821923</v>
      </c>
      <c r="Q17" s="23">
        <f>Q14/(1+$B$29)^10</f>
        <v>0.89855932184011433</v>
      </c>
      <c r="R17" s="26">
        <f>(R14/(B29-R11))/(1+B29)^10</f>
        <v>14.104375185080738</v>
      </c>
    </row>
    <row r="18" spans="1:18" x14ac:dyDescent="0.2"/>
    <row r="19" spans="1:18" x14ac:dyDescent="0.2">
      <c r="A19" s="19" t="s">
        <v>24</v>
      </c>
      <c r="B19" s="11"/>
    </row>
    <row r="20" spans="1:18" x14ac:dyDescent="0.2">
      <c r="B20" s="13"/>
    </row>
    <row r="21" spans="1:18" x14ac:dyDescent="0.2">
      <c r="A21" t="s">
        <v>11</v>
      </c>
      <c r="B21" s="14">
        <v>2.46E-2</v>
      </c>
    </row>
    <row r="22" spans="1:18" x14ac:dyDescent="0.2">
      <c r="B22" s="13"/>
    </row>
    <row r="23" spans="1:18" x14ac:dyDescent="0.2">
      <c r="A23" t="s">
        <v>12</v>
      </c>
      <c r="B23" s="14">
        <f>(B25-B21)*B27</f>
        <v>6.0382000000000019E-2</v>
      </c>
    </row>
    <row r="24" spans="1:18" x14ac:dyDescent="0.2">
      <c r="B24" s="13"/>
    </row>
    <row r="25" spans="1:18" x14ac:dyDescent="0.2">
      <c r="A25" t="s">
        <v>13</v>
      </c>
      <c r="B25" s="14">
        <v>7.0000000000000007E-2</v>
      </c>
    </row>
    <row r="26" spans="1:18" x14ac:dyDescent="0.2">
      <c r="B26" s="13"/>
    </row>
    <row r="27" spans="1:18" x14ac:dyDescent="0.2">
      <c r="A27" t="s">
        <v>14</v>
      </c>
      <c r="B27" s="15">
        <v>1.33</v>
      </c>
    </row>
    <row r="28" spans="1:18" x14ac:dyDescent="0.2">
      <c r="B28" s="13"/>
    </row>
    <row r="29" spans="1:18" x14ac:dyDescent="0.2">
      <c r="A29" s="17" t="s">
        <v>15</v>
      </c>
      <c r="B29" s="18">
        <f>B21+(B25-B21)*B27</f>
        <v>8.4982000000000016E-2</v>
      </c>
    </row>
    <row r="30" spans="1:18" x14ac:dyDescent="0.2"/>
    <row r="31" spans="1:18" x14ac:dyDescent="0.2">
      <c r="A31" s="2"/>
      <c r="B31" s="2"/>
      <c r="C31" s="30">
        <v>45261</v>
      </c>
      <c r="D31" s="31" t="s">
        <v>16</v>
      </c>
    </row>
    <row r="32" spans="1:18" x14ac:dyDescent="0.2">
      <c r="A32" s="6" t="s">
        <v>17</v>
      </c>
      <c r="B32" s="6" t="s">
        <v>18</v>
      </c>
      <c r="C32" s="8">
        <f>C33*C34</f>
        <v>24.293620900000004</v>
      </c>
      <c r="D32" s="8">
        <f>SUM(H17:R17)</f>
        <v>23.372240300235898</v>
      </c>
    </row>
    <row r="33" spans="1:4" x14ac:dyDescent="0.2">
      <c r="A33" s="6"/>
      <c r="B33" s="6" t="s">
        <v>7</v>
      </c>
      <c r="C33" s="8">
        <f>2.684378</f>
        <v>2.6843780000000002</v>
      </c>
      <c r="D33" s="8">
        <f>C33</f>
        <v>2.6843780000000002</v>
      </c>
    </row>
    <row r="34" spans="1:4" x14ac:dyDescent="0.2">
      <c r="A34" s="6"/>
      <c r="B34" s="6" t="s">
        <v>19</v>
      </c>
      <c r="C34" s="8">
        <v>9.0500000000000007</v>
      </c>
      <c r="D34" s="8">
        <f>D32/D33</f>
        <v>8.7067619762328174</v>
      </c>
    </row>
    <row r="35" spans="1:4" x14ac:dyDescent="0.2">
      <c r="A35" s="6"/>
      <c r="B35" s="6" t="s">
        <v>20</v>
      </c>
      <c r="C35" s="6"/>
      <c r="D35" s="9">
        <f>IF(C34/D34-1&gt;0,0,C34/D34-1)*-1</f>
        <v>0</v>
      </c>
    </row>
    <row r="36" spans="1:4" x14ac:dyDescent="0.2">
      <c r="A36" s="6"/>
      <c r="B36" s="6" t="s">
        <v>21</v>
      </c>
      <c r="C36" s="6"/>
      <c r="D36" s="9">
        <f>IF(C34/D34-1&lt;0,0,C34/D34-1)</f>
        <v>3.9422006103317475E-2</v>
      </c>
    </row>
    <row r="37" spans="1:4" x14ac:dyDescent="0.2">
      <c r="A37" s="24"/>
      <c r="B37" s="24"/>
      <c r="C37" s="24"/>
      <c r="D37" s="24"/>
    </row>
    <row r="38" spans="1:4" x14ac:dyDescent="0.2">
      <c r="A38" s="25" t="s">
        <v>23</v>
      </c>
      <c r="B38" s="10"/>
      <c r="C38" s="10"/>
      <c r="D38" s="11"/>
    </row>
    <row r="39" spans="1:4" x14ac:dyDescent="0.2">
      <c r="A39" s="12"/>
      <c r="D39" s="13"/>
    </row>
    <row r="40" spans="1:4" x14ac:dyDescent="0.2">
      <c r="A40" s="12" t="str">
        <f>"KGV in "&amp;Q9&amp;":"</f>
        <v>KGV in 2032:</v>
      </c>
      <c r="D40" s="15">
        <v>25</v>
      </c>
    </row>
    <row r="41" spans="1:4" x14ac:dyDescent="0.2">
      <c r="A41" s="12"/>
      <c r="D41" s="13"/>
    </row>
    <row r="42" spans="1:4" x14ac:dyDescent="0.2">
      <c r="A42" s="12" t="str">
        <f>"Aktienkurs in "&amp;Q9&amp;":"</f>
        <v>Aktienkurs in 2032:</v>
      </c>
      <c r="D42" s="15">
        <f>Q16*D40</f>
        <v>20.708644503634545</v>
      </c>
    </row>
    <row r="43" spans="1:4" x14ac:dyDescent="0.2">
      <c r="A43" s="12"/>
      <c r="D43" s="13"/>
    </row>
    <row r="44" spans="1:4" x14ac:dyDescent="0.2">
      <c r="A44" s="12" t="s">
        <v>25</v>
      </c>
      <c r="D44" s="14">
        <v>0.35</v>
      </c>
    </row>
    <row r="45" spans="1:4" x14ac:dyDescent="0.2">
      <c r="A45" s="12"/>
      <c r="D45" s="13"/>
    </row>
    <row r="46" spans="1:4" x14ac:dyDescent="0.2">
      <c r="A46" s="12" t="s">
        <v>26</v>
      </c>
      <c r="D46" s="15">
        <f>D44*SUM(H16:Q16)</f>
        <v>2.04345291876878</v>
      </c>
    </row>
    <row r="47" spans="1:4" x14ac:dyDescent="0.2">
      <c r="A47" s="12"/>
      <c r="D47" s="13"/>
    </row>
    <row r="48" spans="1:4" x14ac:dyDescent="0.2">
      <c r="A48" s="12" t="s">
        <v>27</v>
      </c>
      <c r="D48" s="14">
        <v>0.15</v>
      </c>
    </row>
    <row r="49" spans="1:4" x14ac:dyDescent="0.2">
      <c r="A49" s="12"/>
      <c r="D49" s="13"/>
    </row>
    <row r="50" spans="1:4" x14ac:dyDescent="0.2">
      <c r="A50" s="12" t="str">
        <f>"Gesamtwert "&amp;Q9</f>
        <v>Gesamtwert 2032</v>
      </c>
      <c r="D50" s="15">
        <f>D42+D46*(1-D48)</f>
        <v>22.445579484588009</v>
      </c>
    </row>
    <row r="51" spans="1:4" x14ac:dyDescent="0.2">
      <c r="A51" s="12"/>
      <c r="D51" s="13"/>
    </row>
    <row r="52" spans="1:4" x14ac:dyDescent="0.2">
      <c r="A52" s="12" t="str">
        <f>"Steigerung bis "&amp;Q9</f>
        <v>Steigerung bis 2032</v>
      </c>
      <c r="D52" s="14">
        <f>D50/C34-1</f>
        <v>1.4801745286837575</v>
      </c>
    </row>
    <row r="53" spans="1:4" x14ac:dyDescent="0.2">
      <c r="A53" s="12"/>
      <c r="D53" s="13"/>
    </row>
    <row r="54" spans="1:4" x14ac:dyDescent="0.2">
      <c r="A54" s="27" t="str">
        <f>"Renditeerwartung bis "&amp;Q9&amp;" pro Jahr"</f>
        <v>Renditeerwartung bis 2032 pro Jahr</v>
      </c>
      <c r="B54" s="28"/>
      <c r="C54" s="28"/>
      <c r="D54" s="29">
        <f>(D50/C34)^(1/10)-1</f>
        <v>9.5085993670139812E-2</v>
      </c>
    </row>
    <row r="55" spans="1:4" x14ac:dyDescent="0.2"/>
    <row r="56" spans="1:4" x14ac:dyDescent="0.2"/>
    <row r="57" spans="1:4" x14ac:dyDescent="0.2"/>
    <row r="58" spans="1:4" x14ac:dyDescent="0.2"/>
    <row r="59" spans="1:4" x14ac:dyDescent="0.2"/>
    <row r="60" spans="1:4" x14ac:dyDescent="0.2"/>
    <row r="61" spans="1:4" x14ac:dyDescent="0.2"/>
    <row r="62" spans="1:4" x14ac:dyDescent="0.2"/>
    <row r="63" spans="1:4" x14ac:dyDescent="0.2"/>
    <row r="64" spans="1:4" x14ac:dyDescent="0.2"/>
    <row r="65" x14ac:dyDescent="0.2"/>
  </sheetData>
  <pageMargins left="0.7" right="0.7" top="0.78740157499999996" bottom="0.78740157499999996" header="0.3" footer="0.3"/>
  <pageSetup paperSize="9" orientation="portrait" horizontalDpi="0" verticalDpi="0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233D2-1A79-F24B-87BC-A444AEB36AB7}">
  <dimension ref="A1:S65"/>
  <sheetViews>
    <sheetView showGridLines="0" showRowColHeaders="0" workbookViewId="0"/>
  </sheetViews>
  <sheetFormatPr baseColWidth="10" defaultColWidth="0" defaultRowHeight="16" zeroHeight="1" x14ac:dyDescent="0.2"/>
  <cols>
    <col min="1" max="1" width="22.5" customWidth="1"/>
    <col min="2" max="2" width="35" customWidth="1"/>
    <col min="3" max="18" width="13.33203125" customWidth="1"/>
    <col min="19" max="19" width="10.83203125" customWidth="1"/>
    <col min="20" max="16384" width="10.83203125" hidden="1"/>
  </cols>
  <sheetData>
    <row r="1" spans="1:18" x14ac:dyDescent="0.2"/>
    <row r="2" spans="1:18" ht="26" x14ac:dyDescent="0.3">
      <c r="B2" s="20" t="s">
        <v>0</v>
      </c>
    </row>
    <row r="3" spans="1:18" x14ac:dyDescent="0.2"/>
    <row r="4" spans="1:18" x14ac:dyDescent="0.2">
      <c r="B4" t="str">
        <f>Optimistisch!B4</f>
        <v>Annahmen für Hexagon</v>
      </c>
    </row>
    <row r="5" spans="1:18" x14ac:dyDescent="0.2"/>
    <row r="6" spans="1:18" x14ac:dyDescent="0.2">
      <c r="B6" t="str">
        <f>Optimistisch!B6</f>
        <v>Alle Angaben in Mrd.</v>
      </c>
    </row>
    <row r="7" spans="1:18" x14ac:dyDescent="0.2"/>
    <row r="8" spans="1:18" x14ac:dyDescent="0.2">
      <c r="A8" s="2"/>
      <c r="B8" s="2"/>
      <c r="C8" s="2"/>
      <c r="D8" s="2"/>
      <c r="E8" s="2"/>
      <c r="F8" s="2"/>
      <c r="G8" s="2"/>
      <c r="H8" s="3" t="s">
        <v>9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C9">
        <f>Optimistisch!C9</f>
        <v>2018</v>
      </c>
      <c r="D9">
        <f>C9+1</f>
        <v>2019</v>
      </c>
      <c r="E9">
        <f t="shared" ref="E9:Q9" si="0">D9+1</f>
        <v>2020</v>
      </c>
      <c r="F9">
        <f t="shared" si="0"/>
        <v>2021</v>
      </c>
      <c r="G9">
        <f t="shared" si="0"/>
        <v>2022</v>
      </c>
      <c r="H9" s="6">
        <f t="shared" si="0"/>
        <v>2023</v>
      </c>
      <c r="I9" s="6">
        <f t="shared" si="0"/>
        <v>2024</v>
      </c>
      <c r="J9" s="6">
        <f t="shared" si="0"/>
        <v>2025</v>
      </c>
      <c r="K9" s="6">
        <f t="shared" si="0"/>
        <v>2026</v>
      </c>
      <c r="L9" s="6">
        <f t="shared" si="0"/>
        <v>2027</v>
      </c>
      <c r="M9" s="6">
        <f t="shared" si="0"/>
        <v>2028</v>
      </c>
      <c r="N9" s="6">
        <f t="shared" si="0"/>
        <v>2029</v>
      </c>
      <c r="O9" s="6">
        <f t="shared" si="0"/>
        <v>2030</v>
      </c>
      <c r="P9" s="6">
        <f t="shared" si="0"/>
        <v>2031</v>
      </c>
      <c r="Q9" s="6">
        <f t="shared" si="0"/>
        <v>2032</v>
      </c>
      <c r="R9" s="7" t="str">
        <f>Q9+1&amp;"ff."</f>
        <v>2033ff.</v>
      </c>
    </row>
    <row r="10" spans="1:18" x14ac:dyDescent="0.2">
      <c r="B10" t="s">
        <v>2</v>
      </c>
      <c r="C10" s="4">
        <f>Optimistisch!C10</f>
        <v>3.7606999999999999</v>
      </c>
      <c r="D10" s="4">
        <f>Optimistisch!D10</f>
        <v>3.9077000000000002</v>
      </c>
      <c r="E10" s="4">
        <f>Optimistisch!E10</f>
        <v>3.7644000000000002</v>
      </c>
      <c r="F10" s="4">
        <f>Optimistisch!F10</f>
        <v>4.3411</v>
      </c>
      <c r="G10" s="4">
        <f>Optimistisch!G10</f>
        <v>5.1604999999999999</v>
      </c>
      <c r="H10" s="8">
        <f>Optimistisch!H10</f>
        <v>5.46</v>
      </c>
      <c r="I10" s="8">
        <f>Optimistisch!I10</f>
        <v>5.7839999999999998</v>
      </c>
      <c r="J10" s="8">
        <f>Optimistisch!J10</f>
        <v>6.1980000000000004</v>
      </c>
      <c r="K10" s="8">
        <f>J10*(1+K11)</f>
        <v>6.5698800000000004</v>
      </c>
      <c r="L10" s="8">
        <f t="shared" ref="L10:R10" si="1">K10*(1+L11)</f>
        <v>6.9312234000000004</v>
      </c>
      <c r="M10" s="8">
        <f t="shared" si="1"/>
        <v>7.3124406869999996</v>
      </c>
      <c r="N10" s="8">
        <f t="shared" si="1"/>
        <v>7.6780627213499999</v>
      </c>
      <c r="O10" s="8">
        <f t="shared" si="1"/>
        <v>8.0235755438107486</v>
      </c>
      <c r="P10" s="8">
        <f t="shared" si="1"/>
        <v>8.3846364432822309</v>
      </c>
      <c r="Q10" s="8">
        <f t="shared" si="1"/>
        <v>8.7200219010135207</v>
      </c>
      <c r="R10" s="8">
        <f t="shared" si="1"/>
        <v>8.8508222295287222</v>
      </c>
    </row>
    <row r="11" spans="1:18" x14ac:dyDescent="0.2">
      <c r="B11" t="s">
        <v>3</v>
      </c>
      <c r="C11" s="1" t="s">
        <v>10</v>
      </c>
      <c r="D11" s="5">
        <f>D10/C10-1</f>
        <v>3.9088467572526486E-2</v>
      </c>
      <c r="E11" s="5">
        <f t="shared" ref="E11:J11" si="2">E10/D10-1</f>
        <v>-3.6671187655142434E-2</v>
      </c>
      <c r="F11" s="5">
        <f t="shared" si="2"/>
        <v>0.15319838486877058</v>
      </c>
      <c r="G11" s="5">
        <f>G10/F10-1</f>
        <v>0.18875400244177731</v>
      </c>
      <c r="H11" s="9">
        <f t="shared" si="2"/>
        <v>5.803701191744981E-2</v>
      </c>
      <c r="I11" s="9">
        <f t="shared" si="2"/>
        <v>5.9340659340659352E-2</v>
      </c>
      <c r="J11" s="9">
        <f t="shared" si="2"/>
        <v>7.1576763485477368E-2</v>
      </c>
      <c r="K11" s="9">
        <v>0.06</v>
      </c>
      <c r="L11" s="9">
        <v>5.5E-2</v>
      </c>
      <c r="M11" s="9">
        <v>5.5E-2</v>
      </c>
      <c r="N11" s="9">
        <v>0.05</v>
      </c>
      <c r="O11" s="9">
        <v>4.4999999999999998E-2</v>
      </c>
      <c r="P11" s="9">
        <v>4.4999999999999998E-2</v>
      </c>
      <c r="Q11" s="9">
        <v>0.04</v>
      </c>
      <c r="R11" s="9">
        <v>1.4999999999999999E-2</v>
      </c>
    </row>
    <row r="12" spans="1:18" x14ac:dyDescent="0.2">
      <c r="B12" t="s">
        <v>4</v>
      </c>
      <c r="C12" s="5">
        <f>C13/C10</f>
        <v>0.24599143776424603</v>
      </c>
      <c r="D12" s="5">
        <f t="shared" ref="D12:J12" si="3">D13/D10</f>
        <v>0.22831844819203109</v>
      </c>
      <c r="E12" s="5">
        <f t="shared" si="3"/>
        <v>0.20906386143874189</v>
      </c>
      <c r="F12" s="5">
        <f t="shared" si="3"/>
        <v>0.23261385363156806</v>
      </c>
      <c r="G12" s="5">
        <f t="shared" si="3"/>
        <v>0.24933630462164519</v>
      </c>
      <c r="H12" s="9">
        <f t="shared" si="3"/>
        <v>0.24679999999999996</v>
      </c>
      <c r="I12" s="9">
        <f t="shared" si="3"/>
        <v>0.251</v>
      </c>
      <c r="J12" s="9">
        <f t="shared" si="3"/>
        <v>0.25440000000000002</v>
      </c>
      <c r="K12" s="9">
        <v>0.22</v>
      </c>
      <c r="L12" s="9">
        <v>0.21</v>
      </c>
      <c r="M12" s="9">
        <v>0.23</v>
      </c>
      <c r="N12" s="9">
        <v>0.24</v>
      </c>
      <c r="O12" s="9">
        <v>0.25</v>
      </c>
      <c r="P12" s="9">
        <v>0.20499999999999999</v>
      </c>
      <c r="Q12" s="9">
        <v>0.215</v>
      </c>
      <c r="R12" s="9">
        <v>0.22</v>
      </c>
    </row>
    <row r="13" spans="1:18" x14ac:dyDescent="0.2">
      <c r="B13" t="s">
        <v>5</v>
      </c>
      <c r="C13" s="4">
        <f>Optimistisch!C13</f>
        <v>0.92510000000000003</v>
      </c>
      <c r="D13" s="4">
        <f>Optimistisch!D13</f>
        <v>0.89219999999999999</v>
      </c>
      <c r="E13" s="4">
        <f>Optimistisch!E13</f>
        <v>0.78700000000000003</v>
      </c>
      <c r="F13" s="4">
        <f>Optimistisch!F13</f>
        <v>1.0098</v>
      </c>
      <c r="G13" s="4">
        <f>Optimistisch!G13</f>
        <v>1.2867</v>
      </c>
      <c r="H13" s="8">
        <f>Optimistisch!H13</f>
        <v>1.3475279999999998</v>
      </c>
      <c r="I13" s="8">
        <f>Optimistisch!I13</f>
        <v>1.451784</v>
      </c>
      <c r="J13" s="8">
        <f>Optimistisch!J13</f>
        <v>1.5767712000000003</v>
      </c>
      <c r="K13" s="8">
        <f>K10*K12</f>
        <v>1.4453736000000001</v>
      </c>
      <c r="L13" s="8">
        <f t="shared" ref="L13:R13" si="4">L10*L12</f>
        <v>1.455556914</v>
      </c>
      <c r="M13" s="8">
        <f t="shared" si="4"/>
        <v>1.6818613580099999</v>
      </c>
      <c r="N13" s="8">
        <f t="shared" si="4"/>
        <v>1.8427350531239999</v>
      </c>
      <c r="O13" s="8">
        <f t="shared" si="4"/>
        <v>2.0058938859526871</v>
      </c>
      <c r="P13" s="8">
        <f t="shared" si="4"/>
        <v>1.7188504708728571</v>
      </c>
      <c r="Q13" s="8">
        <f t="shared" si="4"/>
        <v>1.8748047087179069</v>
      </c>
      <c r="R13" s="8">
        <f t="shared" si="4"/>
        <v>1.9471808904963188</v>
      </c>
    </row>
    <row r="14" spans="1:18" x14ac:dyDescent="0.2">
      <c r="A14" s="9">
        <v>0.25</v>
      </c>
      <c r="B14" t="s">
        <v>6</v>
      </c>
      <c r="C14" s="4">
        <f>Optimistisch!C14</f>
        <v>0.73</v>
      </c>
      <c r="D14" s="4">
        <f>Optimistisch!D14</f>
        <v>0.70240000000000002</v>
      </c>
      <c r="E14" s="4">
        <f>Optimistisch!E14</f>
        <v>0.61809999999999998</v>
      </c>
      <c r="F14" s="4">
        <f>Optimistisch!F14</f>
        <v>0.80159999999999998</v>
      </c>
      <c r="G14" s="4">
        <f>Optimistisch!G14</f>
        <v>1.0076000000000001</v>
      </c>
      <c r="H14" s="8">
        <f>Optimistisch!H14</f>
        <v>0.87906000000000006</v>
      </c>
      <c r="I14" s="8">
        <f>Optimistisch!I14</f>
        <v>1.116312</v>
      </c>
      <c r="J14" s="8">
        <f>Optimistisch!J14</f>
        <v>1.264392</v>
      </c>
      <c r="K14" s="8">
        <f>K13*(1-$A$14)</f>
        <v>1.0840302000000002</v>
      </c>
      <c r="L14" s="8">
        <f t="shared" ref="L14:R14" si="5">L13*(1-$A$14)</f>
        <v>1.0916676855</v>
      </c>
      <c r="M14" s="8">
        <f t="shared" si="5"/>
        <v>1.2613960185074999</v>
      </c>
      <c r="N14" s="8">
        <f t="shared" si="5"/>
        <v>1.382051289843</v>
      </c>
      <c r="O14" s="8">
        <f t="shared" si="5"/>
        <v>1.5044204144645152</v>
      </c>
      <c r="P14" s="8">
        <f t="shared" si="5"/>
        <v>1.2891378531546429</v>
      </c>
      <c r="Q14" s="8">
        <f t="shared" si="5"/>
        <v>1.4061035315384303</v>
      </c>
      <c r="R14" s="8">
        <f t="shared" si="5"/>
        <v>1.4603856678722391</v>
      </c>
    </row>
    <row r="15" spans="1:18" x14ac:dyDescent="0.2">
      <c r="A15" s="9">
        <v>1.01</v>
      </c>
      <c r="B15" t="s">
        <v>28</v>
      </c>
      <c r="H15" s="8">
        <f>C33</f>
        <v>2.6843780000000002</v>
      </c>
      <c r="I15" s="8">
        <f>H15*$A$15</f>
        <v>2.7112217800000002</v>
      </c>
      <c r="J15" s="8">
        <f t="shared" ref="J15:Q15" si="6">I15*$A$15</f>
        <v>2.7383339978000003</v>
      </c>
      <c r="K15" s="8">
        <f t="shared" si="6"/>
        <v>2.7657173377780002</v>
      </c>
      <c r="L15" s="8">
        <f t="shared" si="6"/>
        <v>2.7933745111557804</v>
      </c>
      <c r="M15" s="8">
        <f t="shared" si="6"/>
        <v>2.8213082562673382</v>
      </c>
      <c r="N15" s="8">
        <f t="shared" si="6"/>
        <v>2.8495213388300114</v>
      </c>
      <c r="O15" s="8">
        <f t="shared" si="6"/>
        <v>2.8780165522183117</v>
      </c>
      <c r="P15" s="8">
        <f t="shared" si="6"/>
        <v>2.906796717740495</v>
      </c>
      <c r="Q15" s="8">
        <f t="shared" si="6"/>
        <v>2.9358646849178998</v>
      </c>
      <c r="R15" s="7" t="s">
        <v>10</v>
      </c>
    </row>
    <row r="16" spans="1:18" x14ac:dyDescent="0.2">
      <c r="B16" t="s">
        <v>8</v>
      </c>
      <c r="H16" s="8">
        <f>H14/H15</f>
        <v>0.3274725094602921</v>
      </c>
      <c r="I16" s="8">
        <f t="shared" ref="I16:P16" si="7">I14/I15</f>
        <v>0.41173761889741084</v>
      </c>
      <c r="J16" s="8">
        <f t="shared" si="7"/>
        <v>0.46173768467097975</v>
      </c>
      <c r="K16" s="8">
        <f t="shared" si="7"/>
        <v>0.39195263564819638</v>
      </c>
      <c r="L16" s="8">
        <f t="shared" si="7"/>
        <v>0.39080605953131364</v>
      </c>
      <c r="M16" s="8">
        <f t="shared" si="7"/>
        <v>0.44709613552698374</v>
      </c>
      <c r="N16" s="8">
        <f t="shared" si="7"/>
        <v>0.48501173548342619</v>
      </c>
      <c r="O16" s="8">
        <f t="shared" si="7"/>
        <v>0.52272820088714955</v>
      </c>
      <c r="P16" s="8">
        <f t="shared" si="7"/>
        <v>0.44349088647544394</v>
      </c>
      <c r="Q16" s="8">
        <f>Q14/Q15</f>
        <v>0.47894017008408252</v>
      </c>
      <c r="R16" s="7" t="s">
        <v>10</v>
      </c>
    </row>
    <row r="17" spans="1:18" x14ac:dyDescent="0.2">
      <c r="F17" s="21" t="s">
        <v>22</v>
      </c>
      <c r="G17" s="22"/>
      <c r="H17" s="23">
        <f>H14/(1+$B$29)</f>
        <v>0.81020698960904414</v>
      </c>
      <c r="I17" s="23">
        <f>I14/(1+$B$29)^2</f>
        <v>0.94828859380766506</v>
      </c>
      <c r="J17" s="23">
        <f>J14/(1+$B$29)^3</f>
        <v>0.98995200507437009</v>
      </c>
      <c r="K17" s="23">
        <f>K14/(1+$B$29)^4</f>
        <v>0.78226022475401036</v>
      </c>
      <c r="L17" s="23">
        <f>L14/(1+$B$29)^5</f>
        <v>0.72606882290234454</v>
      </c>
      <c r="M17" s="23">
        <f>M14/(1+$B$29)^6</f>
        <v>0.77324346165257374</v>
      </c>
      <c r="N17" s="23">
        <f>N14/(1+$B$29)^7</f>
        <v>0.78084786634588366</v>
      </c>
      <c r="O17" s="23">
        <f>O14/(1+$B$29)^8</f>
        <v>0.78340971356691491</v>
      </c>
      <c r="P17" s="23">
        <f>P14/(1+$B$29)^9</f>
        <v>0.61872342910342215</v>
      </c>
      <c r="Q17" s="23">
        <f>Q14/(1+$B$29)^10</f>
        <v>0.62200226564408423</v>
      </c>
      <c r="R17" s="26">
        <f>(R14/(B29-R11))/(1+B29)^10</f>
        <v>9.2311515265602484</v>
      </c>
    </row>
    <row r="18" spans="1:18" x14ac:dyDescent="0.2"/>
    <row r="19" spans="1:18" x14ac:dyDescent="0.2">
      <c r="A19" s="19" t="s">
        <v>24</v>
      </c>
      <c r="B19" s="11"/>
    </row>
    <row r="20" spans="1:18" x14ac:dyDescent="0.2">
      <c r="B20" s="13"/>
    </row>
    <row r="21" spans="1:18" x14ac:dyDescent="0.2">
      <c r="A21" t="s">
        <v>11</v>
      </c>
      <c r="B21" s="14">
        <f>Optimistisch!B21</f>
        <v>2.46E-2</v>
      </c>
    </row>
    <row r="22" spans="1:18" x14ac:dyDescent="0.2">
      <c r="B22" s="13"/>
    </row>
    <row r="23" spans="1:18" x14ac:dyDescent="0.2">
      <c r="A23" t="s">
        <v>12</v>
      </c>
      <c r="B23" s="14">
        <f>(B25-B21)*B27</f>
        <v>6.0382000000000019E-2</v>
      </c>
    </row>
    <row r="24" spans="1:18" x14ac:dyDescent="0.2">
      <c r="B24" s="13"/>
    </row>
    <row r="25" spans="1:18" x14ac:dyDescent="0.2">
      <c r="A25" t="s">
        <v>13</v>
      </c>
      <c r="B25" s="14">
        <f>Optimistisch!B25</f>
        <v>7.0000000000000007E-2</v>
      </c>
    </row>
    <row r="26" spans="1:18" x14ac:dyDescent="0.2">
      <c r="B26" s="13"/>
    </row>
    <row r="27" spans="1:18" x14ac:dyDescent="0.2">
      <c r="A27" t="s">
        <v>14</v>
      </c>
      <c r="B27" s="15">
        <f>Optimistisch!B27</f>
        <v>1.33</v>
      </c>
    </row>
    <row r="28" spans="1:18" x14ac:dyDescent="0.2">
      <c r="B28" s="13"/>
    </row>
    <row r="29" spans="1:18" x14ac:dyDescent="0.2">
      <c r="A29" s="17" t="s">
        <v>15</v>
      </c>
      <c r="B29" s="18">
        <f>B21+(B25-B21)*B27</f>
        <v>8.4982000000000016E-2</v>
      </c>
    </row>
    <row r="30" spans="1:18" x14ac:dyDescent="0.2"/>
    <row r="31" spans="1:18" x14ac:dyDescent="0.2">
      <c r="A31" s="2"/>
      <c r="B31" s="2"/>
      <c r="C31" s="30">
        <f>Optimistisch!C31</f>
        <v>45261</v>
      </c>
      <c r="D31" s="31" t="s">
        <v>16</v>
      </c>
    </row>
    <row r="32" spans="1:18" x14ac:dyDescent="0.2">
      <c r="A32" s="6" t="s">
        <v>17</v>
      </c>
      <c r="B32" s="6" t="s">
        <v>18</v>
      </c>
      <c r="C32" s="8">
        <f>C33*C34</f>
        <v>24.293620900000004</v>
      </c>
      <c r="D32" s="8">
        <f>SUM(H17:R17)</f>
        <v>17.06615489902056</v>
      </c>
    </row>
    <row r="33" spans="1:4" x14ac:dyDescent="0.2">
      <c r="A33" s="6"/>
      <c r="B33" s="6" t="s">
        <v>7</v>
      </c>
      <c r="C33" s="8">
        <f>Optimistisch!C33</f>
        <v>2.6843780000000002</v>
      </c>
      <c r="D33" s="8">
        <f>C33</f>
        <v>2.6843780000000002</v>
      </c>
    </row>
    <row r="34" spans="1:4" x14ac:dyDescent="0.2">
      <c r="A34" s="6"/>
      <c r="B34" s="6" t="s">
        <v>19</v>
      </c>
      <c r="C34" s="8">
        <f>Optimistisch!C34</f>
        <v>9.0500000000000007</v>
      </c>
      <c r="D34" s="8">
        <f>D32/D33</f>
        <v>6.3575826128140518</v>
      </c>
    </row>
    <row r="35" spans="1:4" x14ac:dyDescent="0.2">
      <c r="A35" s="6"/>
      <c r="B35" s="6" t="s">
        <v>20</v>
      </c>
      <c r="C35" s="6"/>
      <c r="D35" s="9">
        <f>IF(C34/D34-1&gt;0,0,C34/D34-1)*-1</f>
        <v>0</v>
      </c>
    </row>
    <row r="36" spans="1:4" x14ac:dyDescent="0.2">
      <c r="A36" s="6"/>
      <c r="B36" s="6" t="s">
        <v>21</v>
      </c>
      <c r="C36" s="6"/>
      <c r="D36" s="9">
        <f>IF(C34/D34-1&lt;0,0,C34/D34-1)</f>
        <v>0.42349703514024917</v>
      </c>
    </row>
    <row r="37" spans="1:4" x14ac:dyDescent="0.2">
      <c r="A37" s="24"/>
      <c r="B37" s="24"/>
      <c r="C37" s="24"/>
      <c r="D37" s="24"/>
    </row>
    <row r="38" spans="1:4" x14ac:dyDescent="0.2">
      <c r="A38" s="25" t="s">
        <v>23</v>
      </c>
      <c r="B38" s="10"/>
      <c r="C38" s="10"/>
      <c r="D38" s="11"/>
    </row>
    <row r="39" spans="1:4" x14ac:dyDescent="0.2">
      <c r="A39" s="12"/>
      <c r="D39" s="13"/>
    </row>
    <row r="40" spans="1:4" x14ac:dyDescent="0.2">
      <c r="A40" s="12" t="str">
        <f>"KGV in "&amp;Q9&amp;":"</f>
        <v>KGV in 2032:</v>
      </c>
      <c r="D40" s="15">
        <v>20</v>
      </c>
    </row>
    <row r="41" spans="1:4" x14ac:dyDescent="0.2">
      <c r="A41" s="12"/>
      <c r="D41" s="13"/>
    </row>
    <row r="42" spans="1:4" x14ac:dyDescent="0.2">
      <c r="A42" s="12" t="str">
        <f>"Aktienkurs in "&amp;Q9&amp;":"</f>
        <v>Aktienkurs in 2032:</v>
      </c>
      <c r="D42" s="15">
        <f>Q16*D40</f>
        <v>9.5788034016816503</v>
      </c>
    </row>
    <row r="43" spans="1:4" x14ac:dyDescent="0.2">
      <c r="A43" s="12"/>
      <c r="D43" s="13"/>
    </row>
    <row r="44" spans="1:4" x14ac:dyDescent="0.2">
      <c r="A44" s="12" t="s">
        <v>25</v>
      </c>
      <c r="D44" s="14">
        <v>0.25</v>
      </c>
    </row>
    <row r="45" spans="1:4" x14ac:dyDescent="0.2">
      <c r="A45" s="12"/>
      <c r="D45" s="13"/>
    </row>
    <row r="46" spans="1:4" x14ac:dyDescent="0.2">
      <c r="A46" s="12" t="s">
        <v>26</v>
      </c>
      <c r="D46" s="15">
        <f>D44*SUM(H16:Q16)</f>
        <v>1.0902434091663196</v>
      </c>
    </row>
    <row r="47" spans="1:4" x14ac:dyDescent="0.2">
      <c r="A47" s="12"/>
      <c r="D47" s="13"/>
    </row>
    <row r="48" spans="1:4" x14ac:dyDescent="0.2">
      <c r="A48" s="12" t="s">
        <v>27</v>
      </c>
      <c r="D48" s="14">
        <f>Optimistisch!D48</f>
        <v>0.15</v>
      </c>
    </row>
    <row r="49" spans="1:4" x14ac:dyDescent="0.2">
      <c r="A49" s="12"/>
      <c r="D49" s="13"/>
    </row>
    <row r="50" spans="1:4" x14ac:dyDescent="0.2">
      <c r="A50" s="12" t="str">
        <f>"Gesamtwert "&amp;Q9</f>
        <v>Gesamtwert 2032</v>
      </c>
      <c r="D50" s="15">
        <f>D42+D46*(1-D48)</f>
        <v>10.505510299473022</v>
      </c>
    </row>
    <row r="51" spans="1:4" x14ac:dyDescent="0.2">
      <c r="A51" s="12"/>
      <c r="D51" s="13"/>
    </row>
    <row r="52" spans="1:4" x14ac:dyDescent="0.2">
      <c r="A52" s="12" t="str">
        <f>"Steigerung bis "&amp;Q9</f>
        <v>Steigerung bis 2032</v>
      </c>
      <c r="D52" s="14">
        <f>D50/C34-1</f>
        <v>0.1608298673450852</v>
      </c>
    </row>
    <row r="53" spans="1:4" x14ac:dyDescent="0.2">
      <c r="A53" s="12"/>
      <c r="D53" s="13"/>
    </row>
    <row r="54" spans="1:4" x14ac:dyDescent="0.2">
      <c r="A54" s="27" t="str">
        <f>"Renditeerwartung bis "&amp;Q9&amp;" pro Jahr"</f>
        <v>Renditeerwartung bis 2032 pro Jahr</v>
      </c>
      <c r="B54" s="28"/>
      <c r="C54" s="28"/>
      <c r="D54" s="29">
        <f>(D50/C34)^(1/10)-1</f>
        <v>1.5025276584235359E-2</v>
      </c>
    </row>
    <row r="55" spans="1:4" x14ac:dyDescent="0.2"/>
    <row r="56" spans="1:4" x14ac:dyDescent="0.2"/>
    <row r="57" spans="1:4" x14ac:dyDescent="0.2"/>
    <row r="58" spans="1:4" x14ac:dyDescent="0.2"/>
    <row r="59" spans="1:4" x14ac:dyDescent="0.2"/>
    <row r="60" spans="1:4" x14ac:dyDescent="0.2"/>
    <row r="61" spans="1:4" x14ac:dyDescent="0.2"/>
    <row r="62" spans="1:4" x14ac:dyDescent="0.2"/>
    <row r="63" spans="1:4" x14ac:dyDescent="0.2"/>
    <row r="64" spans="1:4" x14ac:dyDescent="0.2"/>
    <row r="65" x14ac:dyDescent="0.2"/>
  </sheetData>
  <pageMargins left="0.7" right="0.7" top="0.78740157499999996" bottom="0.78740157499999996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D1D1A-4C90-5D4F-B2EA-4FAC9D5FC900}">
  <dimension ref="A1:S65"/>
  <sheetViews>
    <sheetView showGridLines="0" showRowColHeaders="0" workbookViewId="0"/>
  </sheetViews>
  <sheetFormatPr baseColWidth="10" defaultColWidth="0" defaultRowHeight="16" zeroHeight="1" x14ac:dyDescent="0.2"/>
  <cols>
    <col min="1" max="1" width="22.5" customWidth="1"/>
    <col min="2" max="2" width="35" customWidth="1"/>
    <col min="3" max="18" width="13.33203125" customWidth="1"/>
    <col min="19" max="19" width="10.83203125" customWidth="1"/>
    <col min="20" max="16384" width="10.83203125" hidden="1"/>
  </cols>
  <sheetData>
    <row r="1" spans="1:18" x14ac:dyDescent="0.2"/>
    <row r="2" spans="1:18" ht="26" x14ac:dyDescent="0.3">
      <c r="B2" s="20" t="s">
        <v>0</v>
      </c>
    </row>
    <row r="3" spans="1:18" x14ac:dyDescent="0.2"/>
    <row r="4" spans="1:18" x14ac:dyDescent="0.2">
      <c r="B4" t="str">
        <f>Optimistisch!B4</f>
        <v>Annahmen für Hexagon</v>
      </c>
    </row>
    <row r="5" spans="1:18" x14ac:dyDescent="0.2"/>
    <row r="6" spans="1:18" x14ac:dyDescent="0.2">
      <c r="B6" t="str">
        <f>Optimistisch!B6</f>
        <v>Alle Angaben in Mrd.</v>
      </c>
    </row>
    <row r="7" spans="1:18" x14ac:dyDescent="0.2"/>
    <row r="8" spans="1:18" x14ac:dyDescent="0.2">
      <c r="A8" s="2"/>
      <c r="B8" s="2"/>
      <c r="C8" s="2"/>
      <c r="D8" s="2"/>
      <c r="E8" s="2"/>
      <c r="F8" s="2"/>
      <c r="G8" s="2"/>
      <c r="H8" s="3" t="s">
        <v>9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C9">
        <f>Optimistisch!C9</f>
        <v>2018</v>
      </c>
      <c r="D9">
        <f>C9+1</f>
        <v>2019</v>
      </c>
      <c r="E9">
        <f t="shared" ref="E9:Q9" si="0">D9+1</f>
        <v>2020</v>
      </c>
      <c r="F9">
        <f t="shared" si="0"/>
        <v>2021</v>
      </c>
      <c r="G9">
        <f t="shared" si="0"/>
        <v>2022</v>
      </c>
      <c r="H9" s="6">
        <f t="shared" si="0"/>
        <v>2023</v>
      </c>
      <c r="I9" s="6">
        <f t="shared" si="0"/>
        <v>2024</v>
      </c>
      <c r="J9" s="6">
        <f t="shared" si="0"/>
        <v>2025</v>
      </c>
      <c r="K9" s="6">
        <f t="shared" si="0"/>
        <v>2026</v>
      </c>
      <c r="L9" s="6">
        <f t="shared" si="0"/>
        <v>2027</v>
      </c>
      <c r="M9" s="6">
        <f t="shared" si="0"/>
        <v>2028</v>
      </c>
      <c r="N9" s="6">
        <f t="shared" si="0"/>
        <v>2029</v>
      </c>
      <c r="O9" s="6">
        <f t="shared" si="0"/>
        <v>2030</v>
      </c>
      <c r="P9" s="6">
        <f t="shared" si="0"/>
        <v>2031</v>
      </c>
      <c r="Q9" s="6">
        <f t="shared" si="0"/>
        <v>2032</v>
      </c>
      <c r="R9" s="7" t="str">
        <f>Q9+1&amp;"ff."</f>
        <v>2033ff.</v>
      </c>
    </row>
    <row r="10" spans="1:18" x14ac:dyDescent="0.2">
      <c r="B10" t="s">
        <v>2</v>
      </c>
      <c r="C10" s="4">
        <f>Optimistisch!C10</f>
        <v>3.7606999999999999</v>
      </c>
      <c r="D10" s="4">
        <f>Optimistisch!D10</f>
        <v>3.9077000000000002</v>
      </c>
      <c r="E10" s="4">
        <f>Optimistisch!E10</f>
        <v>3.7644000000000002</v>
      </c>
      <c r="F10" s="4">
        <f>Optimistisch!F10</f>
        <v>4.3411</v>
      </c>
      <c r="G10" s="4">
        <f>Optimistisch!G10</f>
        <v>5.1604999999999999</v>
      </c>
      <c r="H10" s="8">
        <f t="shared" ref="H10:J10" si="1">G10*(1+H11)</f>
        <v>5.5088337499999991</v>
      </c>
      <c r="I10" s="8">
        <f t="shared" si="1"/>
        <v>5.8806800281249982</v>
      </c>
      <c r="J10" s="8">
        <f t="shared" si="1"/>
        <v>6.2776259300234347</v>
      </c>
      <c r="K10" s="8">
        <f>J10*(1+K11)</f>
        <v>6.7013656803000163</v>
      </c>
      <c r="L10" s="8">
        <f t="shared" ref="L10:R10" si="2">K10*(1+L11)</f>
        <v>7.1537078637202667</v>
      </c>
      <c r="M10" s="8">
        <f t="shared" si="2"/>
        <v>7.6365831445213841</v>
      </c>
      <c r="N10" s="8">
        <f t="shared" si="2"/>
        <v>8.1520525067765774</v>
      </c>
      <c r="O10" s="8">
        <f t="shared" si="2"/>
        <v>8.7023160509839954</v>
      </c>
      <c r="P10" s="8">
        <f t="shared" si="2"/>
        <v>9.2897223844254135</v>
      </c>
      <c r="Q10" s="8">
        <f t="shared" si="2"/>
        <v>9.9167786453741282</v>
      </c>
      <c r="R10" s="8">
        <f t="shared" si="2"/>
        <v>10.115114218281612</v>
      </c>
    </row>
    <row r="11" spans="1:18" x14ac:dyDescent="0.2">
      <c r="B11" t="s">
        <v>3</v>
      </c>
      <c r="C11" s="1" t="s">
        <v>10</v>
      </c>
      <c r="D11" s="5">
        <f>D10/C10-1</f>
        <v>3.9088467572526486E-2</v>
      </c>
      <c r="E11" s="5">
        <f t="shared" ref="E11:F11" si="3">E10/D10-1</f>
        <v>-3.6671187655142434E-2</v>
      </c>
      <c r="F11" s="5">
        <f t="shared" si="3"/>
        <v>0.15319838486877058</v>
      </c>
      <c r="G11" s="5">
        <f>G10/F10-1</f>
        <v>0.18875400244177731</v>
      </c>
      <c r="H11" s="9">
        <v>6.7500000000000004E-2</v>
      </c>
      <c r="I11" s="9">
        <f>$H$11</f>
        <v>6.7500000000000004E-2</v>
      </c>
      <c r="J11" s="9">
        <f t="shared" ref="J11:Q11" si="4">$H$11</f>
        <v>6.7500000000000004E-2</v>
      </c>
      <c r="K11" s="9">
        <f t="shared" si="4"/>
        <v>6.7500000000000004E-2</v>
      </c>
      <c r="L11" s="9">
        <f t="shared" si="4"/>
        <v>6.7500000000000004E-2</v>
      </c>
      <c r="M11" s="9">
        <f t="shared" si="4"/>
        <v>6.7500000000000004E-2</v>
      </c>
      <c r="N11" s="9">
        <f t="shared" si="4"/>
        <v>6.7500000000000004E-2</v>
      </c>
      <c r="O11" s="9">
        <f t="shared" si="4"/>
        <v>6.7500000000000004E-2</v>
      </c>
      <c r="P11" s="9">
        <f t="shared" si="4"/>
        <v>6.7500000000000004E-2</v>
      </c>
      <c r="Q11" s="9">
        <f t="shared" si="4"/>
        <v>6.7500000000000004E-2</v>
      </c>
      <c r="R11" s="9">
        <f>Optimistisch!R11</f>
        <v>0.02</v>
      </c>
    </row>
    <row r="12" spans="1:18" x14ac:dyDescent="0.2">
      <c r="B12" t="s">
        <v>4</v>
      </c>
      <c r="C12" s="5">
        <f>C13/C10</f>
        <v>0.24599143776424603</v>
      </c>
      <c r="D12" s="5">
        <f t="shared" ref="D12:G12" si="5">D13/D10</f>
        <v>0.22831844819203109</v>
      </c>
      <c r="E12" s="5">
        <f t="shared" si="5"/>
        <v>0.20906386143874189</v>
      </c>
      <c r="F12" s="5">
        <f t="shared" si="5"/>
        <v>0.23261385363156806</v>
      </c>
      <c r="G12" s="5">
        <f t="shared" si="5"/>
        <v>0.24933630462164519</v>
      </c>
      <c r="H12" s="9">
        <f>Optimistisch!H12</f>
        <v>0.24679999999999996</v>
      </c>
      <c r="I12" s="9">
        <f>Optimistisch!I12</f>
        <v>0.251</v>
      </c>
      <c r="J12" s="9">
        <f>Optimistisch!J12</f>
        <v>0.25440000000000002</v>
      </c>
      <c r="K12" s="9">
        <f>Optimistisch!K12</f>
        <v>0.255</v>
      </c>
      <c r="L12" s="9">
        <f>Optimistisch!L12</f>
        <v>0.25750000000000001</v>
      </c>
      <c r="M12" s="9">
        <f>Optimistisch!M12</f>
        <v>0.26</v>
      </c>
      <c r="N12" s="9">
        <f>Optimistisch!N12</f>
        <v>0.22</v>
      </c>
      <c r="O12" s="9">
        <f>Optimistisch!O12</f>
        <v>0.255</v>
      </c>
      <c r="P12" s="9">
        <f>Optimistisch!P12</f>
        <v>0.26</v>
      </c>
      <c r="Q12" s="9">
        <f>Optimistisch!Q12</f>
        <v>0.26500000000000001</v>
      </c>
      <c r="R12" s="9">
        <f>Optimistisch!R12</f>
        <v>0.26500000000000001</v>
      </c>
    </row>
    <row r="13" spans="1:18" x14ac:dyDescent="0.2">
      <c r="B13" t="s">
        <v>5</v>
      </c>
      <c r="C13" s="4">
        <f>Optimistisch!C13</f>
        <v>0.92510000000000003</v>
      </c>
      <c r="D13" s="4">
        <f>Optimistisch!D13</f>
        <v>0.89219999999999999</v>
      </c>
      <c r="E13" s="4">
        <f>Optimistisch!E13</f>
        <v>0.78700000000000003</v>
      </c>
      <c r="F13" s="4">
        <f>Optimistisch!F13</f>
        <v>1.0098</v>
      </c>
      <c r="G13" s="4">
        <f>Optimistisch!G13</f>
        <v>1.2867</v>
      </c>
      <c r="H13" s="8">
        <f t="shared" ref="H13:J13" si="6">H10*H12</f>
        <v>1.3595801694999996</v>
      </c>
      <c r="I13" s="8">
        <f t="shared" si="6"/>
        <v>1.4760506870593746</v>
      </c>
      <c r="J13" s="8">
        <f t="shared" si="6"/>
        <v>1.5970280365979619</v>
      </c>
      <c r="K13" s="8">
        <f>K10*K12</f>
        <v>1.7088482484765042</v>
      </c>
      <c r="L13" s="8">
        <f t="shared" ref="L13:R13" si="7">L10*L12</f>
        <v>1.8420797749079687</v>
      </c>
      <c r="M13" s="8">
        <f t="shared" si="7"/>
        <v>1.9855116175755598</v>
      </c>
      <c r="N13" s="8">
        <f t="shared" si="7"/>
        <v>1.7934515514908471</v>
      </c>
      <c r="O13" s="8">
        <f t="shared" si="7"/>
        <v>2.219090593000919</v>
      </c>
      <c r="P13" s="8">
        <f t="shared" si="7"/>
        <v>2.4153278199506074</v>
      </c>
      <c r="Q13" s="8">
        <f t="shared" si="7"/>
        <v>2.6279463410241442</v>
      </c>
      <c r="R13" s="8">
        <f t="shared" si="7"/>
        <v>2.6805052678446271</v>
      </c>
    </row>
    <row r="14" spans="1:18" x14ac:dyDescent="0.2">
      <c r="A14" s="9">
        <f>Optimistisch!A14</f>
        <v>0.2</v>
      </c>
      <c r="B14" t="s">
        <v>6</v>
      </c>
      <c r="C14" s="4">
        <f>Optimistisch!C14</f>
        <v>0.73</v>
      </c>
      <c r="D14" s="4">
        <f>Optimistisch!D14</f>
        <v>0.70240000000000002</v>
      </c>
      <c r="E14" s="4">
        <f>Optimistisch!E14</f>
        <v>0.61809999999999998</v>
      </c>
      <c r="F14" s="4">
        <f>Optimistisch!F14</f>
        <v>0.80159999999999998</v>
      </c>
      <c r="G14" s="4">
        <f>Optimistisch!G14</f>
        <v>1.0076000000000001</v>
      </c>
      <c r="H14" s="8">
        <f>H13*(1-$A$14)</f>
        <v>1.0876641355999996</v>
      </c>
      <c r="I14" s="8">
        <f t="shared" ref="I14:J14" si="8">I13*(1-$A$14)</f>
        <v>1.1808405496474996</v>
      </c>
      <c r="J14" s="8">
        <f t="shared" si="8"/>
        <v>1.2776224292783696</v>
      </c>
      <c r="K14" s="8">
        <f>K13*(1-$A$14)</f>
        <v>1.3670785987812035</v>
      </c>
      <c r="L14" s="8">
        <f t="shared" ref="L14:R14" si="9">L13*(1-$A$14)</f>
        <v>1.473663819926375</v>
      </c>
      <c r="M14" s="8">
        <f t="shared" si="9"/>
        <v>1.588409294060448</v>
      </c>
      <c r="N14" s="8">
        <f t="shared" si="9"/>
        <v>1.4347612411926778</v>
      </c>
      <c r="O14" s="8">
        <f t="shared" si="9"/>
        <v>1.7752724744007353</v>
      </c>
      <c r="P14" s="8">
        <f t="shared" si="9"/>
        <v>1.9322622559604861</v>
      </c>
      <c r="Q14" s="8">
        <f t="shared" si="9"/>
        <v>2.1023570728193155</v>
      </c>
      <c r="R14" s="8">
        <f t="shared" si="9"/>
        <v>2.1444042142757018</v>
      </c>
    </row>
    <row r="15" spans="1:18" x14ac:dyDescent="0.2">
      <c r="A15" s="9">
        <f>Optimistisch!A15</f>
        <v>0.99</v>
      </c>
      <c r="B15" t="s">
        <v>28</v>
      </c>
      <c r="H15" s="8">
        <f>C33</f>
        <v>2.6843780000000002</v>
      </c>
      <c r="I15" s="8">
        <f>H15*$A$15</f>
        <v>2.6575342200000001</v>
      </c>
      <c r="J15" s="8">
        <f t="shared" ref="J15:Q15" si="10">I15*$A$15</f>
        <v>2.6309588777999999</v>
      </c>
      <c r="K15" s="8">
        <f t="shared" si="10"/>
        <v>2.6046492890219999</v>
      </c>
      <c r="L15" s="8">
        <f t="shared" si="10"/>
        <v>2.5786027961317797</v>
      </c>
      <c r="M15" s="8">
        <f t="shared" si="10"/>
        <v>2.5528167681704619</v>
      </c>
      <c r="N15" s="8">
        <f t="shared" si="10"/>
        <v>2.5272886004887574</v>
      </c>
      <c r="O15" s="8">
        <f t="shared" si="10"/>
        <v>2.5020157144838699</v>
      </c>
      <c r="P15" s="8">
        <f t="shared" si="10"/>
        <v>2.4769955573390314</v>
      </c>
      <c r="Q15" s="8">
        <f t="shared" si="10"/>
        <v>2.4522256017656412</v>
      </c>
      <c r="R15" s="7" t="s">
        <v>10</v>
      </c>
    </row>
    <row r="16" spans="1:18" x14ac:dyDescent="0.2">
      <c r="B16" t="s">
        <v>8</v>
      </c>
      <c r="H16" s="8">
        <f>H14/H15</f>
        <v>0.40518292714364357</v>
      </c>
      <c r="I16" s="8">
        <f t="shared" ref="I16:P16" si="11">I14/I15</f>
        <v>0.44433691230041794</v>
      </c>
      <c r="J16" s="8">
        <f t="shared" si="11"/>
        <v>0.48561094590224596</v>
      </c>
      <c r="K16" s="8">
        <f t="shared" si="11"/>
        <v>0.5248609110420841</v>
      </c>
      <c r="L16" s="8">
        <f t="shared" si="11"/>
        <v>0.5714970223940854</v>
      </c>
      <c r="M16" s="8">
        <f t="shared" si="11"/>
        <v>0.62221829387262295</v>
      </c>
      <c r="N16" s="8">
        <f t="shared" si="11"/>
        <v>0.56770771684532051</v>
      </c>
      <c r="O16" s="8">
        <f t="shared" si="11"/>
        <v>0.70953690023763449</v>
      </c>
      <c r="P16" s="8">
        <f t="shared" si="11"/>
        <v>0.78008305272709599</v>
      </c>
      <c r="Q16" s="8">
        <f>Q14/Q15</f>
        <v>0.85732612501296179</v>
      </c>
      <c r="R16" s="7" t="s">
        <v>10</v>
      </c>
    </row>
    <row r="17" spans="1:18" x14ac:dyDescent="0.2">
      <c r="F17" s="21" t="s">
        <v>22</v>
      </c>
      <c r="G17" s="22"/>
      <c r="H17" s="23">
        <f>H14/(1+$B$29)</f>
        <v>1.0024720553889368</v>
      </c>
      <c r="I17" s="23">
        <f>I14/(1+$B$29)^2</f>
        <v>1.0031045302176254</v>
      </c>
      <c r="J17" s="23">
        <f>J14/(1+$B$29)^3</f>
        <v>1.000310730843053</v>
      </c>
      <c r="K17" s="23">
        <f>K14/(1+$B$29)^4</f>
        <v>0.98651422436292047</v>
      </c>
      <c r="L17" s="23">
        <f>L14/(1+$B$29)^5</f>
        <v>0.9801346777042762</v>
      </c>
      <c r="M17" s="23">
        <f>M14/(1+$B$29)^6</f>
        <v>0.97370459636750395</v>
      </c>
      <c r="N17" s="23">
        <f>N14/(1+$B$29)^7</f>
        <v>0.81062856504286673</v>
      </c>
      <c r="O17" s="23">
        <f>O14/(1+$B$29)^8</f>
        <v>0.92445282402561568</v>
      </c>
      <c r="P17" s="23">
        <f>P14/(1+$B$29)^9</f>
        <v>0.92739184254763474</v>
      </c>
      <c r="Q17" s="23">
        <f>Q14/(1+$B$29)^10</f>
        <v>0.92999614406468711</v>
      </c>
      <c r="R17" s="26">
        <f>(R14/(B29-R11))/(1+B29)^10</f>
        <v>14.597828120802387</v>
      </c>
    </row>
    <row r="18" spans="1:18" x14ac:dyDescent="0.2"/>
    <row r="19" spans="1:18" x14ac:dyDescent="0.2">
      <c r="A19" s="19" t="s">
        <v>24</v>
      </c>
      <c r="B19" s="11"/>
    </row>
    <row r="20" spans="1:18" x14ac:dyDescent="0.2">
      <c r="B20" s="13"/>
    </row>
    <row r="21" spans="1:18" x14ac:dyDescent="0.2">
      <c r="A21" t="s">
        <v>11</v>
      </c>
      <c r="B21" s="14">
        <f>Optimistisch!B21</f>
        <v>2.46E-2</v>
      </c>
    </row>
    <row r="22" spans="1:18" x14ac:dyDescent="0.2">
      <c r="B22" s="13"/>
    </row>
    <row r="23" spans="1:18" x14ac:dyDescent="0.2">
      <c r="A23" t="s">
        <v>12</v>
      </c>
      <c r="B23" s="14">
        <f>(B25-B21)*B27</f>
        <v>6.0382000000000019E-2</v>
      </c>
    </row>
    <row r="24" spans="1:18" x14ac:dyDescent="0.2">
      <c r="B24" s="13"/>
    </row>
    <row r="25" spans="1:18" x14ac:dyDescent="0.2">
      <c r="A25" t="s">
        <v>13</v>
      </c>
      <c r="B25" s="14">
        <f>Optimistisch!B25</f>
        <v>7.0000000000000007E-2</v>
      </c>
    </row>
    <row r="26" spans="1:18" x14ac:dyDescent="0.2">
      <c r="B26" s="13"/>
    </row>
    <row r="27" spans="1:18" x14ac:dyDescent="0.2">
      <c r="A27" t="s">
        <v>14</v>
      </c>
      <c r="B27" s="15">
        <f>Optimistisch!B27</f>
        <v>1.33</v>
      </c>
    </row>
    <row r="28" spans="1:18" x14ac:dyDescent="0.2">
      <c r="B28" s="13"/>
    </row>
    <row r="29" spans="1:18" x14ac:dyDescent="0.2">
      <c r="A29" s="17" t="s">
        <v>15</v>
      </c>
      <c r="B29" s="18">
        <f>B21+(B25-B21)*B27</f>
        <v>8.4982000000000016E-2</v>
      </c>
    </row>
    <row r="30" spans="1:18" x14ac:dyDescent="0.2"/>
    <row r="31" spans="1:18" x14ac:dyDescent="0.2">
      <c r="A31" s="2"/>
      <c r="B31" s="2"/>
      <c r="C31" s="30">
        <f>Optimistisch!C31</f>
        <v>45261</v>
      </c>
      <c r="D31" s="31" t="s">
        <v>16</v>
      </c>
    </row>
    <row r="32" spans="1:18" x14ac:dyDescent="0.2">
      <c r="A32" s="6" t="s">
        <v>17</v>
      </c>
      <c r="B32" s="6" t="s">
        <v>18</v>
      </c>
      <c r="C32" s="8">
        <f>C33*C34</f>
        <v>24.293620900000004</v>
      </c>
      <c r="D32" s="8">
        <f>SUM(H17:R17)</f>
        <v>24.136538311367506</v>
      </c>
    </row>
    <row r="33" spans="1:4" x14ac:dyDescent="0.2">
      <c r="A33" s="6"/>
      <c r="B33" s="6" t="s">
        <v>7</v>
      </c>
      <c r="C33" s="8">
        <f>Optimistisch!C33</f>
        <v>2.6843780000000002</v>
      </c>
      <c r="D33" s="8">
        <f>C33</f>
        <v>2.6843780000000002</v>
      </c>
    </row>
    <row r="34" spans="1:4" x14ac:dyDescent="0.2">
      <c r="A34" s="6"/>
      <c r="B34" s="6" t="s">
        <v>19</v>
      </c>
      <c r="C34" s="8">
        <f>Optimistisch!C34</f>
        <v>9.0500000000000007</v>
      </c>
      <c r="D34" s="8">
        <f>D32/D33</f>
        <v>8.9914826866288973</v>
      </c>
    </row>
    <row r="35" spans="1:4" x14ac:dyDescent="0.2">
      <c r="A35" s="6"/>
      <c r="B35" s="6" t="s">
        <v>20</v>
      </c>
      <c r="C35" s="6"/>
      <c r="D35" s="9">
        <f>IF(C34/D34-1&gt;0,0,C34/D34-1)*-1</f>
        <v>0</v>
      </c>
    </row>
    <row r="36" spans="1:4" x14ac:dyDescent="0.2">
      <c r="A36" s="6"/>
      <c r="B36" s="6" t="s">
        <v>21</v>
      </c>
      <c r="C36" s="6"/>
      <c r="D36" s="9">
        <f>IF(C34/D34-1&lt;0,0,C34/D34-1)</f>
        <v>6.5080827501480254E-3</v>
      </c>
    </row>
    <row r="37" spans="1:4" x14ac:dyDescent="0.2">
      <c r="A37" s="24"/>
      <c r="B37" s="24"/>
      <c r="C37" s="24"/>
      <c r="D37" s="24"/>
    </row>
    <row r="38" spans="1:4" x14ac:dyDescent="0.2">
      <c r="A38" s="25" t="s">
        <v>23</v>
      </c>
      <c r="B38" s="10"/>
      <c r="C38" s="10"/>
      <c r="D38" s="11"/>
    </row>
    <row r="39" spans="1:4" x14ac:dyDescent="0.2">
      <c r="A39" s="12"/>
      <c r="D39" s="13"/>
    </row>
    <row r="40" spans="1:4" x14ac:dyDescent="0.2">
      <c r="A40" s="12" t="str">
        <f>"KGV in "&amp;Q9&amp;":"</f>
        <v>KGV in 2032:</v>
      </c>
      <c r="D40" s="15">
        <v>26</v>
      </c>
    </row>
    <row r="41" spans="1:4" x14ac:dyDescent="0.2">
      <c r="A41" s="12"/>
      <c r="D41" s="15">
        <v>26</v>
      </c>
    </row>
    <row r="42" spans="1:4" x14ac:dyDescent="0.2">
      <c r="A42" s="12" t="str">
        <f>"Aktienkurs in "&amp;Q9&amp;":"</f>
        <v>Aktienkurs in 2032:</v>
      </c>
      <c r="D42" s="15">
        <f>Q16*D40</f>
        <v>22.290479250337007</v>
      </c>
    </row>
    <row r="43" spans="1:4" x14ac:dyDescent="0.2">
      <c r="A43" s="12"/>
      <c r="D43" s="13"/>
    </row>
    <row r="44" spans="1:4" x14ac:dyDescent="0.2">
      <c r="A44" s="12" t="s">
        <v>25</v>
      </c>
      <c r="D44" s="14">
        <f>Optimistisch!D44</f>
        <v>0.35</v>
      </c>
    </row>
    <row r="45" spans="1:4" x14ac:dyDescent="0.2">
      <c r="A45" s="12"/>
      <c r="D45" s="13"/>
    </row>
    <row r="46" spans="1:4" x14ac:dyDescent="0.2">
      <c r="A46" s="12" t="s">
        <v>26</v>
      </c>
      <c r="D46" s="15">
        <f>D44*SUM(H16:Q16)</f>
        <v>2.0889262826173391</v>
      </c>
    </row>
    <row r="47" spans="1:4" x14ac:dyDescent="0.2">
      <c r="A47" s="12"/>
      <c r="D47" s="13"/>
    </row>
    <row r="48" spans="1:4" x14ac:dyDescent="0.2">
      <c r="A48" s="12" t="s">
        <v>27</v>
      </c>
      <c r="D48" s="14">
        <f>Optimistisch!D48</f>
        <v>0.15</v>
      </c>
    </row>
    <row r="49" spans="1:4" x14ac:dyDescent="0.2">
      <c r="A49" s="12"/>
      <c r="D49" s="13"/>
    </row>
    <row r="50" spans="1:4" x14ac:dyDescent="0.2">
      <c r="A50" s="12" t="str">
        <f>"Gesamtwert "&amp;Q9</f>
        <v>Gesamtwert 2032</v>
      </c>
      <c r="D50" s="15">
        <f>D42+D46*(1-D48)</f>
        <v>24.066066590561746</v>
      </c>
    </row>
    <row r="51" spans="1:4" x14ac:dyDescent="0.2">
      <c r="A51" s="12"/>
      <c r="D51" s="13"/>
    </row>
    <row r="52" spans="1:4" x14ac:dyDescent="0.2">
      <c r="A52" s="12" t="str">
        <f>"Steigerung bis "&amp;Q9</f>
        <v>Steigerung bis 2032</v>
      </c>
      <c r="D52" s="14">
        <f>D50/C34-1</f>
        <v>1.6592338774101374</v>
      </c>
    </row>
    <row r="53" spans="1:4" x14ac:dyDescent="0.2">
      <c r="A53" s="12"/>
      <c r="D53" s="13"/>
    </row>
    <row r="54" spans="1:4" x14ac:dyDescent="0.2">
      <c r="A54" s="27" t="str">
        <f>"Renditeerwartung bis "&amp;Q9&amp;" pro Jahr"</f>
        <v>Renditeerwartung bis 2032 pro Jahr</v>
      </c>
      <c r="B54" s="28"/>
      <c r="C54" s="28"/>
      <c r="D54" s="29">
        <f>(D50/C34)^(1/10)-1</f>
        <v>0.10274641223834036</v>
      </c>
    </row>
    <row r="55" spans="1:4" x14ac:dyDescent="0.2"/>
    <row r="56" spans="1:4" x14ac:dyDescent="0.2"/>
    <row r="57" spans="1:4" x14ac:dyDescent="0.2"/>
    <row r="58" spans="1:4" x14ac:dyDescent="0.2"/>
    <row r="59" spans="1:4" x14ac:dyDescent="0.2"/>
    <row r="60" spans="1:4" x14ac:dyDescent="0.2"/>
    <row r="61" spans="1:4" x14ac:dyDescent="0.2"/>
    <row r="62" spans="1:4" x14ac:dyDescent="0.2"/>
    <row r="63" spans="1:4" x14ac:dyDescent="0.2"/>
    <row r="64" spans="1:4" x14ac:dyDescent="0.2"/>
    <row r="65" x14ac:dyDescent="0.2"/>
  </sheetData>
  <pageMargins left="0.7" right="0.7" top="0.78740157499999996" bottom="0.78740157499999996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AC595-0A3D-DE41-8B7F-3ABB60455D02}">
  <dimension ref="A1:R55"/>
  <sheetViews>
    <sheetView showGridLines="0" showRowColHeaders="0" workbookViewId="0"/>
  </sheetViews>
  <sheetFormatPr baseColWidth="10" defaultColWidth="0" defaultRowHeight="16" zeroHeight="1" x14ac:dyDescent="0.2"/>
  <cols>
    <col min="1" max="1" width="22.5" customWidth="1"/>
    <col min="2" max="2" width="35" customWidth="1"/>
    <col min="3" max="14" width="13.33203125" customWidth="1"/>
    <col min="15" max="18" width="13.33203125" hidden="1" customWidth="1"/>
    <col min="19" max="16384" width="10.83203125" hidden="1"/>
  </cols>
  <sheetData>
    <row r="1" spans="1:18" x14ac:dyDescent="0.2"/>
    <row r="2" spans="1:18" ht="26" x14ac:dyDescent="0.3">
      <c r="B2" s="20" t="s">
        <v>29</v>
      </c>
    </row>
    <row r="3" spans="1:18" x14ac:dyDescent="0.2"/>
    <row r="4" spans="1:18" x14ac:dyDescent="0.2">
      <c r="B4" t="str">
        <f>Optimistisch!B4</f>
        <v>Annahmen für Hexagon</v>
      </c>
    </row>
    <row r="5" spans="1:18" x14ac:dyDescent="0.2"/>
    <row r="6" spans="1:18" x14ac:dyDescent="0.2">
      <c r="B6" t="str">
        <f>Optimistisch!B6</f>
        <v>Alle Angaben in Mrd.</v>
      </c>
    </row>
    <row r="7" spans="1:18" x14ac:dyDescent="0.2"/>
    <row r="8" spans="1:18" x14ac:dyDescent="0.2">
      <c r="A8" s="2"/>
      <c r="B8" s="2"/>
      <c r="C8" s="2"/>
      <c r="D8" s="2"/>
      <c r="E8" s="2"/>
      <c r="F8" s="2"/>
      <c r="G8" s="2"/>
      <c r="H8" s="3" t="s">
        <v>9</v>
      </c>
      <c r="I8" s="2"/>
      <c r="J8" s="2"/>
      <c r="K8" s="2"/>
      <c r="L8" s="2"/>
      <c r="M8" s="2"/>
    </row>
    <row r="9" spans="1:18" x14ac:dyDescent="0.2">
      <c r="C9">
        <f>Optimistisch!C9</f>
        <v>2018</v>
      </c>
      <c r="D9">
        <f>C9+1</f>
        <v>2019</v>
      </c>
      <c r="E9">
        <f t="shared" ref="E9:M9" si="0">D9+1</f>
        <v>2020</v>
      </c>
      <c r="F9">
        <f t="shared" si="0"/>
        <v>2021</v>
      </c>
      <c r="G9">
        <f t="shared" si="0"/>
        <v>2022</v>
      </c>
      <c r="H9" s="6">
        <f>G9+1</f>
        <v>2023</v>
      </c>
      <c r="I9" s="6">
        <f t="shared" si="0"/>
        <v>2024</v>
      </c>
      <c r="J9" s="6">
        <f t="shared" si="0"/>
        <v>2025</v>
      </c>
      <c r="K9" s="6">
        <f t="shared" si="0"/>
        <v>2026</v>
      </c>
      <c r="L9" s="6">
        <f t="shared" si="0"/>
        <v>2027</v>
      </c>
      <c r="M9" s="6">
        <f t="shared" si="0"/>
        <v>2028</v>
      </c>
      <c r="R9" s="1"/>
    </row>
    <row r="10" spans="1:18" x14ac:dyDescent="0.2">
      <c r="B10" t="s">
        <v>2</v>
      </c>
      <c r="C10" s="4">
        <f>Optimistisch!C10</f>
        <v>3.7606999999999999</v>
      </c>
      <c r="D10" s="4">
        <f>Optimistisch!D10</f>
        <v>3.9077000000000002</v>
      </c>
      <c r="E10" s="4">
        <f>Optimistisch!E10</f>
        <v>3.7644000000000002</v>
      </c>
      <c r="F10" s="4">
        <f>Optimistisch!F10</f>
        <v>4.3411</v>
      </c>
      <c r="G10" s="4">
        <f>Optimistisch!G10</f>
        <v>5.1604999999999999</v>
      </c>
      <c r="H10" s="8">
        <f>Optimistisch!H10</f>
        <v>5.46</v>
      </c>
      <c r="I10" s="8">
        <f>Optimistisch!I10</f>
        <v>5.7839999999999998</v>
      </c>
      <c r="J10" s="8">
        <f>Optimistisch!J10</f>
        <v>6.1980000000000004</v>
      </c>
      <c r="K10" s="8">
        <f>(Optimistisch!K10+Pessimistisch!K10)/2</f>
        <v>6.6628500000000006</v>
      </c>
      <c r="L10" s="8">
        <f>(Optimistisch!L10+Pessimistisch!L10)/2</f>
        <v>7.0968649500000005</v>
      </c>
      <c r="M10" s="8">
        <f>(Optimistisch!M10+Pessimistisch!M10)/2</f>
        <v>7.5235050547500002</v>
      </c>
      <c r="N10" s="4"/>
      <c r="O10" s="4"/>
      <c r="P10" s="4"/>
      <c r="Q10" s="4"/>
      <c r="R10" s="4"/>
    </row>
    <row r="11" spans="1:18" x14ac:dyDescent="0.2">
      <c r="B11" t="s">
        <v>30</v>
      </c>
      <c r="C11" s="5">
        <f>C12/C10</f>
        <v>0.14757890818198741</v>
      </c>
      <c r="D11" s="5">
        <f>D12/D10</f>
        <v>0.18041303068301046</v>
      </c>
      <c r="E11" s="5">
        <f>E12/E10</f>
        <v>0.26325576453086813</v>
      </c>
      <c r="F11" s="5">
        <f>F12/F10</f>
        <v>0.2146921287231347</v>
      </c>
      <c r="G11" s="5">
        <f>G12/G10</f>
        <v>0.15889933146012983</v>
      </c>
      <c r="H11" s="9">
        <v>0.13100000000000001</v>
      </c>
      <c r="I11" s="9">
        <v>0.17499999999999999</v>
      </c>
      <c r="J11" s="9">
        <v>0.19500000000000001</v>
      </c>
      <c r="K11" s="9">
        <v>0.23</v>
      </c>
      <c r="L11" s="9">
        <v>0.17</v>
      </c>
      <c r="M11" s="9">
        <v>0.19500000000000001</v>
      </c>
      <c r="N11" s="5"/>
      <c r="O11" s="5"/>
      <c r="P11" s="5"/>
      <c r="Q11" s="5"/>
      <c r="R11" s="5"/>
    </row>
    <row r="12" spans="1:18" x14ac:dyDescent="0.2">
      <c r="B12" t="s">
        <v>31</v>
      </c>
      <c r="C12" s="4">
        <v>0.55500000000000005</v>
      </c>
      <c r="D12" s="4">
        <v>0.70499999999999996</v>
      </c>
      <c r="E12" s="4">
        <v>0.99099999999999999</v>
      </c>
      <c r="F12" s="4">
        <v>0.93200000000000005</v>
      </c>
      <c r="G12" s="4">
        <v>0.82</v>
      </c>
      <c r="H12" s="8">
        <f>H10*H11</f>
        <v>0.71526000000000001</v>
      </c>
      <c r="I12" s="8">
        <f t="shared" ref="I12:L12" si="1">I10*I11</f>
        <v>1.0122</v>
      </c>
      <c r="J12" s="8">
        <f t="shared" si="1"/>
        <v>1.2086100000000002</v>
      </c>
      <c r="K12" s="8">
        <f t="shared" si="1"/>
        <v>1.5324555000000002</v>
      </c>
      <c r="L12" s="8">
        <f t="shared" si="1"/>
        <v>1.2064670415000003</v>
      </c>
      <c r="M12" s="8">
        <f>M10*M11</f>
        <v>1.46708348567625</v>
      </c>
      <c r="N12" s="4"/>
      <c r="O12" s="4"/>
      <c r="P12" s="4"/>
      <c r="Q12" s="4"/>
      <c r="R12" s="4"/>
    </row>
    <row r="13" spans="1:18" x14ac:dyDescent="0.2">
      <c r="F13" s="21" t="s">
        <v>32</v>
      </c>
      <c r="G13" s="22"/>
      <c r="H13" s="23">
        <f>H12/(1+$B$37)</f>
        <v>0.66464158068976709</v>
      </c>
      <c r="I13" s="23">
        <f>I12/(1+$B$37)^2</f>
        <v>0.87400410353358859</v>
      </c>
      <c r="J13" s="23">
        <f>J12/(1+$B$37)^3</f>
        <v>0.96974353138547786</v>
      </c>
      <c r="K13" s="23">
        <f>K12/(1+$B$37)^4</f>
        <v>1.1425682447812056</v>
      </c>
      <c r="L13" s="23">
        <f>L12/(1+$B$37)^5</f>
        <v>0.83585955052163341</v>
      </c>
      <c r="M13" s="26">
        <f>(M12/(B37-B39))/(1+B37)^5</f>
        <v>18.098956177945755</v>
      </c>
      <c r="N13" s="4"/>
      <c r="O13" s="4"/>
      <c r="P13" s="4"/>
      <c r="Q13" s="4"/>
      <c r="R13" s="4"/>
    </row>
    <row r="14" spans="1:18" x14ac:dyDescent="0.2"/>
    <row r="15" spans="1:18" x14ac:dyDescent="0.2">
      <c r="A15" s="19" t="s">
        <v>24</v>
      </c>
      <c r="B15" s="11"/>
    </row>
    <row r="16" spans="1:18" x14ac:dyDescent="0.2">
      <c r="B16" s="13"/>
    </row>
    <row r="17" spans="1:2" x14ac:dyDescent="0.2">
      <c r="A17" t="s">
        <v>11</v>
      </c>
      <c r="B17" s="14">
        <f>Optimistisch!B21</f>
        <v>2.46E-2</v>
      </c>
    </row>
    <row r="18" spans="1:2" x14ac:dyDescent="0.2">
      <c r="B18" s="13"/>
    </row>
    <row r="19" spans="1:2" x14ac:dyDescent="0.2">
      <c r="A19" t="s">
        <v>12</v>
      </c>
      <c r="B19" s="14">
        <f>(B21-B17)*B23</f>
        <v>6.0382000000000019E-2</v>
      </c>
    </row>
    <row r="20" spans="1:2" x14ac:dyDescent="0.2">
      <c r="B20" s="13"/>
    </row>
    <row r="21" spans="1:2" x14ac:dyDescent="0.2">
      <c r="A21" t="s">
        <v>13</v>
      </c>
      <c r="B21" s="14">
        <f>Optimistisch!B25</f>
        <v>7.0000000000000007E-2</v>
      </c>
    </row>
    <row r="22" spans="1:2" x14ac:dyDescent="0.2">
      <c r="B22" s="13"/>
    </row>
    <row r="23" spans="1:2" x14ac:dyDescent="0.2">
      <c r="A23" t="s">
        <v>14</v>
      </c>
      <c r="B23" s="15">
        <f>Optimistisch!B27</f>
        <v>1.33</v>
      </c>
    </row>
    <row r="24" spans="1:2" x14ac:dyDescent="0.2">
      <c r="B24" s="13"/>
    </row>
    <row r="25" spans="1:2" x14ac:dyDescent="0.2">
      <c r="A25" s="17" t="s">
        <v>15</v>
      </c>
      <c r="B25" s="18">
        <f>B17+(B21-B17)*B23</f>
        <v>8.4982000000000016E-2</v>
      </c>
    </row>
    <row r="26" spans="1:2" x14ac:dyDescent="0.2"/>
    <row r="27" spans="1:2" x14ac:dyDescent="0.2">
      <c r="A27" s="25" t="s">
        <v>33</v>
      </c>
      <c r="B27" s="11"/>
    </row>
    <row r="28" spans="1:2" x14ac:dyDescent="0.2">
      <c r="A28" s="12"/>
      <c r="B28" s="13"/>
    </row>
    <row r="29" spans="1:2" x14ac:dyDescent="0.2">
      <c r="A29" s="12" t="s">
        <v>38</v>
      </c>
      <c r="B29" s="15">
        <f>C42</f>
        <v>24.293620900000004</v>
      </c>
    </row>
    <row r="30" spans="1:2" x14ac:dyDescent="0.2">
      <c r="A30" s="12"/>
      <c r="B30" s="13"/>
    </row>
    <row r="31" spans="1:2" x14ac:dyDescent="0.2">
      <c r="A31" s="12" t="s">
        <v>39</v>
      </c>
      <c r="B31" s="15">
        <v>3.8610000000000002</v>
      </c>
    </row>
    <row r="32" spans="1:2" x14ac:dyDescent="0.2">
      <c r="A32" s="12"/>
      <c r="B32" s="13"/>
    </row>
    <row r="33" spans="1:4" x14ac:dyDescent="0.2">
      <c r="A33" s="12" t="s">
        <v>34</v>
      </c>
      <c r="B33" s="14">
        <v>2.5999999999999999E-2</v>
      </c>
    </row>
    <row r="34" spans="1:4" x14ac:dyDescent="0.2">
      <c r="A34" s="12"/>
      <c r="B34" s="13"/>
    </row>
    <row r="35" spans="1:4" x14ac:dyDescent="0.2">
      <c r="A35" s="12" t="s">
        <v>35</v>
      </c>
      <c r="B35" s="14">
        <v>0.20599999999999999</v>
      </c>
    </row>
    <row r="36" spans="1:4" x14ac:dyDescent="0.2">
      <c r="A36" s="12"/>
      <c r="B36" s="13"/>
    </row>
    <row r="37" spans="1:4" x14ac:dyDescent="0.2">
      <c r="A37" s="16" t="s">
        <v>36</v>
      </c>
      <c r="B37" s="18">
        <f>B25*(B29/(B29+B31))+B33*(B31/(B29+B31))*(1-B35)</f>
        <v>7.6158971663646186E-2</v>
      </c>
    </row>
    <row r="38" spans="1:4" x14ac:dyDescent="0.2">
      <c r="B38" s="5"/>
    </row>
    <row r="39" spans="1:4" x14ac:dyDescent="0.2">
      <c r="A39" t="s">
        <v>37</v>
      </c>
      <c r="B39" s="5">
        <v>0.02</v>
      </c>
    </row>
    <row r="40" spans="1:4" x14ac:dyDescent="0.2"/>
    <row r="41" spans="1:4" x14ac:dyDescent="0.2">
      <c r="A41" s="2"/>
      <c r="B41" s="2"/>
      <c r="C41" s="30">
        <f>Optimistisch!C31</f>
        <v>45261</v>
      </c>
      <c r="D41" s="31" t="s">
        <v>16</v>
      </c>
    </row>
    <row r="42" spans="1:4" x14ac:dyDescent="0.2">
      <c r="A42" s="6" t="s">
        <v>17</v>
      </c>
      <c r="B42" s="6" t="s">
        <v>18</v>
      </c>
      <c r="C42" s="8">
        <f>C43*C44</f>
        <v>24.293620900000004</v>
      </c>
      <c r="D42" s="8">
        <f>SUM(H13:M13)-B31</f>
        <v>18.724773188857426</v>
      </c>
    </row>
    <row r="43" spans="1:4" x14ac:dyDescent="0.2">
      <c r="A43" s="6"/>
      <c r="B43" s="6" t="s">
        <v>7</v>
      </c>
      <c r="C43" s="8">
        <f>Optimistisch!C33</f>
        <v>2.6843780000000002</v>
      </c>
      <c r="D43" s="8">
        <f>C43</f>
        <v>2.6843780000000002</v>
      </c>
    </row>
    <row r="44" spans="1:4" x14ac:dyDescent="0.2">
      <c r="A44" s="6"/>
      <c r="B44" s="6" t="s">
        <v>19</v>
      </c>
      <c r="C44" s="8">
        <f>Optimistisch!C34</f>
        <v>9.0500000000000007</v>
      </c>
      <c r="D44" s="8">
        <f>D42/D43</f>
        <v>6.9754606798511336</v>
      </c>
    </row>
    <row r="45" spans="1:4" x14ac:dyDescent="0.2">
      <c r="A45" s="6"/>
      <c r="B45" s="6" t="s">
        <v>20</v>
      </c>
      <c r="C45" s="6"/>
      <c r="D45" s="9">
        <f>IF(C44/D44-1&gt;0,0,C44/D44-1)*-1</f>
        <v>0</v>
      </c>
    </row>
    <row r="46" spans="1:4" x14ac:dyDescent="0.2">
      <c r="A46" s="6"/>
      <c r="B46" s="6" t="s">
        <v>21</v>
      </c>
      <c r="C46" s="6"/>
      <c r="D46" s="9">
        <f>IF(C44/D44-1&lt;0,0,C44/D44-1)</f>
        <v>0.29740534931854001</v>
      </c>
    </row>
    <row r="47" spans="1:4" x14ac:dyDescent="0.2"/>
    <row r="48" spans="1:4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</sheetData>
  <pageMargins left="0.7" right="0.7" top="0.78740157499999996" bottom="0.78740157499999996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Optimistisch</vt:lpstr>
      <vt:lpstr>Pessimistisch</vt:lpstr>
      <vt:lpstr>Wachstum für Faire Bewertung</vt:lpstr>
      <vt:lpstr>DCF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Tilman Reichel</dc:creator>
  <cp:lastModifiedBy>Tilman Reichel</cp:lastModifiedBy>
  <dcterms:created xsi:type="dcterms:W3CDTF">2023-11-01T21:06:40Z</dcterms:created>
  <dcterms:modified xsi:type="dcterms:W3CDTF">2023-11-30T14:19:51Z</dcterms:modified>
</cp:coreProperties>
</file>