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Wachstum für Faire Bewertung" sheetId="3" r:id="rId6"/>
    <sheet state="visible" name="DCF" sheetId="4" r:id="rId7"/>
  </sheets>
  <definedNames/>
  <calcPr/>
  <extLst>
    <ext uri="GoogleSheetsCustomDataVersion2">
      <go:sheetsCustomData xmlns:go="http://customooxmlschemas.google.com/" r:id="rId8" roundtripDataChecksum="kOcpURknrUDaPokEkS/qLyM5p0akYs7UgIgBxWjp5WE="/>
    </ext>
  </extLst>
</workbook>
</file>

<file path=xl/sharedStrings.xml><?xml version="1.0" encoding="utf-8"?>
<sst xmlns="http://schemas.openxmlformats.org/spreadsheetml/2006/main" count="118" uniqueCount="41">
  <si>
    <t>Discounted Net-Profit Modell</t>
  </si>
  <si>
    <t>Annahmen für Merck</t>
  </si>
  <si>
    <t>Alle Angaben in Mrd.</t>
  </si>
  <si>
    <t>Schätzungen »</t>
  </si>
  <si>
    <t>Umsatz</t>
  </si>
  <si>
    <t>Umsatzwachstum</t>
  </si>
  <si>
    <t>-</t>
  </si>
  <si>
    <t>EBIT Marge</t>
  </si>
  <si>
    <t>EBIT</t>
  </si>
  <si>
    <t>Gewinn (abzgl. Steuern, Zinsen)</t>
  </si>
  <si>
    <t>Anzahl an Aktien (abzgl. Aktienrückkäufe)</t>
  </si>
  <si>
    <t>Gewinn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</si>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</sst>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Border="1" applyFont="1" applyNumberFormat="1"/>
    <xf borderId="8" fillId="0" fontId="3" numFmtId="2" xfId="0" applyBorder="1" applyFont="1" applyNumberFormat="1"/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2018.0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v>14.836</v>
      </c>
      <c r="D10" s="7">
        <v>16.152</v>
      </c>
      <c r="E10" s="7">
        <v>17.534</v>
      </c>
      <c r="F10" s="7">
        <v>19.687</v>
      </c>
      <c r="G10" s="7">
        <v>22.232</v>
      </c>
      <c r="H10" s="8">
        <v>21.11335</v>
      </c>
      <c r="I10" s="8">
        <v>21.92419</v>
      </c>
      <c r="J10" s="8">
        <v>23.30506</v>
      </c>
      <c r="K10" s="8">
        <f t="shared" ref="K10:R10" si="2">J10*(1+K11)</f>
        <v>25.2859901</v>
      </c>
      <c r="L10" s="8">
        <f t="shared" si="2"/>
        <v>27.30886931</v>
      </c>
      <c r="M10" s="8">
        <f t="shared" si="2"/>
        <v>29.35703451</v>
      </c>
      <c r="N10" s="8">
        <f t="shared" si="2"/>
        <v>28.47632347</v>
      </c>
      <c r="O10" s="8">
        <f t="shared" si="2"/>
        <v>30.3272845</v>
      </c>
      <c r="P10" s="8">
        <f t="shared" si="2"/>
        <v>31.99528514</v>
      </c>
      <c r="Q10" s="8">
        <f t="shared" si="2"/>
        <v>33.5950494</v>
      </c>
      <c r="R10" s="8">
        <f t="shared" si="2"/>
        <v>34.26695039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0.08870315449</v>
      </c>
      <c r="E11" s="10">
        <f t="shared" si="3"/>
        <v>0.08556215948</v>
      </c>
      <c r="F11" s="10">
        <f t="shared" si="3"/>
        <v>0.122790008</v>
      </c>
      <c r="G11" s="10">
        <f t="shared" si="3"/>
        <v>0.1292731244</v>
      </c>
      <c r="H11" s="11">
        <f t="shared" si="3"/>
        <v>-0.05031711047</v>
      </c>
      <c r="I11" s="11">
        <f t="shared" si="3"/>
        <v>0.03840413767</v>
      </c>
      <c r="J11" s="11">
        <f t="shared" si="3"/>
        <v>0.06298385482</v>
      </c>
      <c r="K11" s="11">
        <v>0.085</v>
      </c>
      <c r="L11" s="11">
        <v>0.08</v>
      </c>
      <c r="M11" s="11">
        <v>0.075</v>
      </c>
      <c r="N11" s="11">
        <v>-0.03</v>
      </c>
      <c r="O11" s="11">
        <v>0.065</v>
      </c>
      <c r="P11" s="11">
        <v>0.055</v>
      </c>
      <c r="Q11" s="11">
        <v>0.05</v>
      </c>
      <c r="R11" s="11">
        <v>0.02</v>
      </c>
    </row>
    <row r="12" ht="15.75" customHeight="1">
      <c r="B12" s="2" t="s">
        <v>7</v>
      </c>
      <c r="C12" s="10">
        <f t="shared" ref="C12:J12" si="4">C13/C10</f>
        <v>0.1164060394</v>
      </c>
      <c r="D12" s="10">
        <f t="shared" si="4"/>
        <v>0.1312530956</v>
      </c>
      <c r="E12" s="10">
        <f t="shared" si="4"/>
        <v>0.1702406753</v>
      </c>
      <c r="F12" s="10">
        <f t="shared" si="4"/>
        <v>0.2122720577</v>
      </c>
      <c r="G12" s="10">
        <f t="shared" si="4"/>
        <v>0.2012414538</v>
      </c>
      <c r="H12" s="11">
        <f t="shared" si="4"/>
        <v>0.177</v>
      </c>
      <c r="I12" s="11">
        <f t="shared" si="4"/>
        <v>0.193</v>
      </c>
      <c r="J12" s="11">
        <f t="shared" si="4"/>
        <v>0.213</v>
      </c>
      <c r="K12" s="11">
        <v>0.215</v>
      </c>
      <c r="L12" s="11">
        <v>0.2175</v>
      </c>
      <c r="M12" s="11">
        <v>0.22</v>
      </c>
      <c r="N12" s="11">
        <v>0.2225</v>
      </c>
      <c r="O12" s="11">
        <v>0.18</v>
      </c>
      <c r="P12" s="11">
        <v>0.225</v>
      </c>
      <c r="Q12" s="11">
        <v>0.23</v>
      </c>
      <c r="R12" s="11">
        <v>0.23</v>
      </c>
    </row>
    <row r="13" ht="15.75" customHeight="1">
      <c r="B13" s="2" t="s">
        <v>8</v>
      </c>
      <c r="C13" s="7">
        <v>1.727</v>
      </c>
      <c r="D13" s="7">
        <v>2.12</v>
      </c>
      <c r="E13" s="7">
        <v>2.985</v>
      </c>
      <c r="F13" s="7">
        <v>4.179</v>
      </c>
      <c r="G13" s="7">
        <v>4.474</v>
      </c>
      <c r="H13" s="8">
        <v>3.73706295</v>
      </c>
      <c r="I13" s="8">
        <v>4.23136867</v>
      </c>
      <c r="J13" s="8">
        <v>4.9639777800000005</v>
      </c>
      <c r="K13" s="8">
        <f t="shared" ref="K13:R13" si="5">K10*K12</f>
        <v>5.436487872</v>
      </c>
      <c r="L13" s="8">
        <f t="shared" si="5"/>
        <v>5.939679074</v>
      </c>
      <c r="M13" s="8">
        <f t="shared" si="5"/>
        <v>6.458547591</v>
      </c>
      <c r="N13" s="8">
        <f t="shared" si="5"/>
        <v>6.335981972</v>
      </c>
      <c r="O13" s="8">
        <f t="shared" si="5"/>
        <v>5.458911209</v>
      </c>
      <c r="P13" s="8">
        <f t="shared" si="5"/>
        <v>7.198939157</v>
      </c>
      <c r="Q13" s="8">
        <f t="shared" si="5"/>
        <v>7.726861362</v>
      </c>
      <c r="R13" s="8">
        <f t="shared" si="5"/>
        <v>7.881398589</v>
      </c>
    </row>
    <row r="14" ht="15.75" customHeight="1">
      <c r="A14" s="11">
        <v>0.25</v>
      </c>
      <c r="B14" s="2" t="s">
        <v>9</v>
      </c>
      <c r="C14" s="7">
        <v>3.374</v>
      </c>
      <c r="D14" s="7">
        <v>1.32</v>
      </c>
      <c r="E14" s="7">
        <v>1.987</v>
      </c>
      <c r="F14" s="7">
        <v>3.055</v>
      </c>
      <c r="G14" s="7">
        <v>3.326</v>
      </c>
      <c r="H14" s="8">
        <v>2.8503022500000004</v>
      </c>
      <c r="I14" s="8">
        <v>3.1351591699999997</v>
      </c>
      <c r="J14" s="8">
        <v>3.65889442</v>
      </c>
      <c r="K14" s="8">
        <f t="shared" ref="K14:R14" si="6">K13*(1-$A$14)</f>
        <v>4.077365904</v>
      </c>
      <c r="L14" s="8">
        <f t="shared" si="6"/>
        <v>4.454759306</v>
      </c>
      <c r="M14" s="8">
        <f t="shared" si="6"/>
        <v>4.843910694</v>
      </c>
      <c r="N14" s="8">
        <f t="shared" si="6"/>
        <v>4.751986479</v>
      </c>
      <c r="O14" s="8">
        <f t="shared" si="6"/>
        <v>4.094183407</v>
      </c>
      <c r="P14" s="8">
        <f t="shared" si="6"/>
        <v>5.399204368</v>
      </c>
      <c r="Q14" s="8">
        <f t="shared" si="6"/>
        <v>5.795146022</v>
      </c>
      <c r="R14" s="8">
        <f t="shared" si="6"/>
        <v>5.911048942</v>
      </c>
    </row>
    <row r="15" ht="15.75" customHeight="1">
      <c r="A15" s="11">
        <v>1.0</v>
      </c>
      <c r="B15" s="2" t="s">
        <v>10</v>
      </c>
      <c r="H15" s="8">
        <f>C33</f>
        <v>0.434788</v>
      </c>
      <c r="I15" s="8">
        <f t="shared" ref="I15:Q15" si="7">H15*$A$15</f>
        <v>0.434788</v>
      </c>
      <c r="J15" s="8">
        <f t="shared" si="7"/>
        <v>0.434788</v>
      </c>
      <c r="K15" s="8">
        <f t="shared" si="7"/>
        <v>0.434788</v>
      </c>
      <c r="L15" s="8">
        <f t="shared" si="7"/>
        <v>0.434788</v>
      </c>
      <c r="M15" s="8">
        <f t="shared" si="7"/>
        <v>0.434788</v>
      </c>
      <c r="N15" s="8">
        <f t="shared" si="7"/>
        <v>0.434788</v>
      </c>
      <c r="O15" s="8">
        <f t="shared" si="7"/>
        <v>0.434788</v>
      </c>
      <c r="P15" s="8">
        <f t="shared" si="7"/>
        <v>0.434788</v>
      </c>
      <c r="Q15" s="8">
        <f t="shared" si="7"/>
        <v>0.434788</v>
      </c>
      <c r="R15" s="6" t="s">
        <v>6</v>
      </c>
    </row>
    <row r="16" ht="15.75" customHeight="1">
      <c r="B16" s="2" t="s">
        <v>11</v>
      </c>
      <c r="H16" s="8">
        <f t="shared" ref="H16:Q16" si="8">H14/H15</f>
        <v>6.555613885</v>
      </c>
      <c r="I16" s="8">
        <f t="shared" si="8"/>
        <v>7.210776677</v>
      </c>
      <c r="J16" s="8">
        <f t="shared" si="8"/>
        <v>8.415352816</v>
      </c>
      <c r="K16" s="8">
        <f t="shared" si="8"/>
        <v>9.377825293</v>
      </c>
      <c r="L16" s="8">
        <f t="shared" si="8"/>
        <v>10.24581936</v>
      </c>
      <c r="M16" s="8">
        <f t="shared" si="8"/>
        <v>11.14085645</v>
      </c>
      <c r="N16" s="8">
        <f t="shared" si="8"/>
        <v>10.92943338</v>
      </c>
      <c r="O16" s="8">
        <f t="shared" si="8"/>
        <v>9.416505072</v>
      </c>
      <c r="P16" s="8">
        <f t="shared" si="8"/>
        <v>12.41801606</v>
      </c>
      <c r="Q16" s="8">
        <f t="shared" si="8"/>
        <v>13.32867057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2.675840148</v>
      </c>
      <c r="I17" s="14">
        <f>I14/(1+$B$29)^2</f>
        <v>2.76310949</v>
      </c>
      <c r="J17" s="14">
        <f>J14/(1+$B$29)^3</f>
        <v>3.027315104</v>
      </c>
      <c r="K17" s="14">
        <f>K14/(1+$B$29)^4</f>
        <v>3.167062884</v>
      </c>
      <c r="L17" s="14">
        <f>L14/(1+$B$29)^5</f>
        <v>3.248407417</v>
      </c>
      <c r="M17" s="14">
        <f>M14/(1+$B$29)^6</f>
        <v>3.315977898</v>
      </c>
      <c r="N17" s="14">
        <f>N14/(1+$B$29)^7</f>
        <v>3.053936101</v>
      </c>
      <c r="O17" s="14">
        <f>O14/(1+$B$29)^8</f>
        <v>2.470138436</v>
      </c>
      <c r="P17" s="14">
        <f>P14/(1+$B$29)^9</f>
        <v>3.058109388</v>
      </c>
      <c r="Q17" s="14">
        <f>Q14/(1+$B$29)^10</f>
        <v>3.081462471</v>
      </c>
      <c r="R17" s="15">
        <f>(R14/(B29-R11))/(1+B29)^10</f>
        <v>69.53896593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0.02199</v>
      </c>
    </row>
    <row r="22" ht="15.75" customHeight="1">
      <c r="B22" s="18"/>
    </row>
    <row r="23" ht="15.75" customHeight="1">
      <c r="A23" s="2" t="s">
        <v>15</v>
      </c>
      <c r="B23" s="19">
        <f>(B25-B21)*B27</f>
        <v>0.043209</v>
      </c>
    </row>
    <row r="24" ht="15.75" customHeight="1">
      <c r="B24" s="18"/>
    </row>
    <row r="25" ht="15.75" customHeight="1">
      <c r="A25" s="2" t="s">
        <v>16</v>
      </c>
      <c r="B25" s="19">
        <v>0.07</v>
      </c>
    </row>
    <row r="26" ht="15.75" customHeight="1">
      <c r="B26" s="18"/>
    </row>
    <row r="27" ht="15.75" customHeight="1">
      <c r="A27" s="2" t="s">
        <v>17</v>
      </c>
      <c r="B27" s="20">
        <v>0.9</v>
      </c>
    </row>
    <row r="28" ht="15.75" customHeight="1">
      <c r="B28" s="18"/>
    </row>
    <row r="29" ht="15.75" customHeight="1">
      <c r="A29" s="21" t="s">
        <v>18</v>
      </c>
      <c r="B29" s="22">
        <f>B21+(B25-B21)*B27</f>
        <v>0.065199</v>
      </c>
    </row>
    <row r="30" ht="15.75" customHeight="1"/>
    <row r="31" ht="15.75" customHeight="1">
      <c r="A31" s="3"/>
      <c r="B31" s="3"/>
      <c r="C31" s="23">
        <v>45268.0</v>
      </c>
      <c r="D31" s="24" t="s">
        <v>19</v>
      </c>
    </row>
    <row r="32" ht="15.75" customHeight="1">
      <c r="A32" s="5" t="s">
        <v>20</v>
      </c>
      <c r="B32" s="5" t="s">
        <v>21</v>
      </c>
      <c r="C32" s="8">
        <f>C33*C34</f>
        <v>61.739896</v>
      </c>
      <c r="D32" s="8">
        <f>SUM(H17:R17)</f>
        <v>99.40032526</v>
      </c>
    </row>
    <row r="33" ht="15.75" customHeight="1">
      <c r="A33" s="5"/>
      <c r="B33" s="5" t="s">
        <v>22</v>
      </c>
      <c r="C33" s="8">
        <v>0.434788</v>
      </c>
      <c r="D33" s="8">
        <f>C33</f>
        <v>0.434788</v>
      </c>
    </row>
    <row r="34" ht="15.75" customHeight="1">
      <c r="A34" s="5"/>
      <c r="B34" s="5" t="s">
        <v>23</v>
      </c>
      <c r="C34" s="25">
        <v>142.0</v>
      </c>
      <c r="D34" s="8">
        <f>D32/D33</f>
        <v>228.6179132</v>
      </c>
    </row>
    <row r="35" ht="15.75" customHeight="1">
      <c r="A35" s="5"/>
      <c r="B35" s="5" t="s">
        <v>24</v>
      </c>
      <c r="C35" s="5"/>
      <c r="D35" s="11">
        <f>IF(C34/D34-1&gt;0,0,C34/D34-1)*-1</f>
        <v>0.3788763182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6"/>
      <c r="B37" s="26"/>
      <c r="C37" s="26"/>
      <c r="D37" s="26"/>
    </row>
    <row r="38" ht="15.75" customHeight="1">
      <c r="A38" s="27" t="s">
        <v>26</v>
      </c>
      <c r="B38" s="28"/>
      <c r="C38" s="28"/>
      <c r="D38" s="17"/>
    </row>
    <row r="39" ht="15.75" customHeight="1">
      <c r="A39" s="29"/>
      <c r="D39" s="18"/>
    </row>
    <row r="40" ht="15.75" customHeight="1">
      <c r="A40" s="29" t="str">
        <f>"KGV in "&amp;Q9&amp;":"</f>
        <v>KGV in 2032:</v>
      </c>
      <c r="D40" s="20">
        <v>23.0</v>
      </c>
    </row>
    <row r="41" ht="15.75" customHeight="1">
      <c r="A41" s="29"/>
      <c r="D41" s="18"/>
    </row>
    <row r="42" ht="15.75" customHeight="1">
      <c r="A42" s="29" t="str">
        <f>"Aktienkurs in "&amp;Q9&amp;":"</f>
        <v>Aktienkurs in 2032:</v>
      </c>
      <c r="D42" s="20">
        <f>Q16*D40</f>
        <v>306.5594232</v>
      </c>
    </row>
    <row r="43" ht="15.75" customHeight="1">
      <c r="A43" s="29"/>
      <c r="D43" s="18"/>
    </row>
    <row r="44" ht="15.75" customHeight="1">
      <c r="A44" s="29" t="s">
        <v>27</v>
      </c>
      <c r="D44" s="19">
        <v>0.45</v>
      </c>
    </row>
    <row r="45" ht="15.75" customHeight="1">
      <c r="A45" s="29"/>
      <c r="D45" s="18"/>
    </row>
    <row r="46" ht="15.75" customHeight="1">
      <c r="A46" s="29" t="s">
        <v>28</v>
      </c>
      <c r="D46" s="20">
        <f>D44*SUM(H16:Q16)</f>
        <v>44.5674913</v>
      </c>
    </row>
    <row r="47" ht="15.75" customHeight="1">
      <c r="A47" s="29"/>
      <c r="D47" s="18"/>
    </row>
    <row r="48" ht="15.75" customHeight="1">
      <c r="A48" s="29" t="s">
        <v>29</v>
      </c>
      <c r="D48" s="19">
        <v>0.0</v>
      </c>
    </row>
    <row r="49" ht="15.75" customHeight="1">
      <c r="A49" s="29"/>
      <c r="D49" s="18"/>
    </row>
    <row r="50" ht="15.75" customHeight="1">
      <c r="A50" s="29" t="str">
        <f>"Gesamtwert "&amp;Q9</f>
        <v>Gesamtwert 2032</v>
      </c>
      <c r="D50" s="20">
        <f>D42+D46*(1-D48)</f>
        <v>351.1269145</v>
      </c>
    </row>
    <row r="51" ht="15.75" customHeight="1">
      <c r="A51" s="29"/>
      <c r="D51" s="18"/>
    </row>
    <row r="52" ht="15.75" customHeight="1">
      <c r="A52" s="29" t="str">
        <f>"Steigerung bis "&amp;Q9</f>
        <v>Steigerung bis 2032</v>
      </c>
      <c r="D52" s="19">
        <f>D50/C34-1</f>
        <v>1.47272475</v>
      </c>
    </row>
    <row r="53" ht="15.75" customHeight="1">
      <c r="A53" s="29"/>
      <c r="D53" s="18"/>
    </row>
    <row r="54" ht="15.75" customHeight="1">
      <c r="A54" s="30" t="str">
        <f>"Renditeerwartung bis "&amp;Q9&amp;" pro Jahr"</f>
        <v>Renditeerwartung bis 2032 pro Jahr</v>
      </c>
      <c r="B54" s="31"/>
      <c r="C54" s="31"/>
      <c r="D54" s="32">
        <f>(D50/C34)^(1/10)-1</f>
        <v>0.09475661377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Merck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2018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f>Optimistisch!C10</f>
        <v>14.836</v>
      </c>
      <c r="D10" s="7">
        <f>Optimistisch!D10</f>
        <v>16.152</v>
      </c>
      <c r="E10" s="7">
        <f>Optimistisch!E10</f>
        <v>17.534</v>
      </c>
      <c r="F10" s="7">
        <f>Optimistisch!F10</f>
        <v>19.687</v>
      </c>
      <c r="G10" s="7">
        <f>Optimistisch!G10</f>
        <v>22.232</v>
      </c>
      <c r="H10" s="8">
        <f>Optimistisch!H10</f>
        <v>21.11335</v>
      </c>
      <c r="I10" s="8">
        <f>Optimistisch!I10</f>
        <v>21.92419</v>
      </c>
      <c r="J10" s="8">
        <f>Optimistisch!J10</f>
        <v>23.30506</v>
      </c>
      <c r="K10" s="8">
        <f t="shared" ref="K10:R10" si="2">J10*(1+K11)</f>
        <v>24.5868383</v>
      </c>
      <c r="L10" s="8">
        <f t="shared" si="2"/>
        <v>25.81618022</v>
      </c>
      <c r="M10" s="8">
        <f t="shared" si="2"/>
        <v>24.5253712</v>
      </c>
      <c r="N10" s="8">
        <f t="shared" si="2"/>
        <v>25.62901291</v>
      </c>
      <c r="O10" s="8">
        <f t="shared" si="2"/>
        <v>26.65417342</v>
      </c>
      <c r="P10" s="8">
        <f t="shared" si="2"/>
        <v>27.58706949</v>
      </c>
      <c r="Q10" s="8">
        <f t="shared" si="2"/>
        <v>28.41468158</v>
      </c>
      <c r="R10" s="8">
        <f t="shared" si="2"/>
        <v>28.6988284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0.08870315449</v>
      </c>
      <c r="E11" s="10">
        <f t="shared" si="3"/>
        <v>0.08556215948</v>
      </c>
      <c r="F11" s="10">
        <f t="shared" si="3"/>
        <v>0.122790008</v>
      </c>
      <c r="G11" s="10">
        <f t="shared" si="3"/>
        <v>0.1292731244</v>
      </c>
      <c r="H11" s="11">
        <f t="shared" si="3"/>
        <v>-0.05031711047</v>
      </c>
      <c r="I11" s="11">
        <f t="shared" si="3"/>
        <v>0.03840413767</v>
      </c>
      <c r="J11" s="11">
        <f t="shared" si="3"/>
        <v>0.06298385482</v>
      </c>
      <c r="K11" s="11">
        <v>0.055</v>
      </c>
      <c r="L11" s="11">
        <v>0.05</v>
      </c>
      <c r="M11" s="11">
        <v>-0.05</v>
      </c>
      <c r="N11" s="11">
        <v>0.045</v>
      </c>
      <c r="O11" s="11">
        <v>0.04</v>
      </c>
      <c r="P11" s="11">
        <v>0.035</v>
      </c>
      <c r="Q11" s="11">
        <v>0.03</v>
      </c>
      <c r="R11" s="11">
        <v>0.01</v>
      </c>
    </row>
    <row r="12" ht="15.75" customHeight="1">
      <c r="B12" s="2" t="s">
        <v>7</v>
      </c>
      <c r="C12" s="10">
        <f t="shared" ref="C12:J12" si="4">C13/C10</f>
        <v>0.1164060394</v>
      </c>
      <c r="D12" s="10">
        <f t="shared" si="4"/>
        <v>0.1312530956</v>
      </c>
      <c r="E12" s="10">
        <f t="shared" si="4"/>
        <v>0.1702406753</v>
      </c>
      <c r="F12" s="10">
        <f t="shared" si="4"/>
        <v>0.2122720577</v>
      </c>
      <c r="G12" s="10">
        <f t="shared" si="4"/>
        <v>0.2012414538</v>
      </c>
      <c r="H12" s="11">
        <f t="shared" si="4"/>
        <v>0.177</v>
      </c>
      <c r="I12" s="11">
        <f t="shared" si="4"/>
        <v>0.193</v>
      </c>
      <c r="J12" s="11">
        <f t="shared" si="4"/>
        <v>0.213</v>
      </c>
      <c r="K12" s="11">
        <v>0.18</v>
      </c>
      <c r="L12" s="11">
        <v>0.205</v>
      </c>
      <c r="M12" s="11">
        <v>0.2</v>
      </c>
      <c r="N12" s="11">
        <v>0.165</v>
      </c>
      <c r="O12" s="11">
        <v>0.195</v>
      </c>
      <c r="P12" s="11">
        <v>0.19</v>
      </c>
      <c r="Q12" s="11">
        <v>0.185</v>
      </c>
      <c r="R12" s="11">
        <v>0.18</v>
      </c>
    </row>
    <row r="13" ht="15.75" customHeight="1">
      <c r="B13" s="2" t="s">
        <v>8</v>
      </c>
      <c r="C13" s="7">
        <f>Optimistisch!C13</f>
        <v>1.727</v>
      </c>
      <c r="D13" s="7">
        <f>Optimistisch!D13</f>
        <v>2.12</v>
      </c>
      <c r="E13" s="7">
        <f>Optimistisch!E13</f>
        <v>2.985</v>
      </c>
      <c r="F13" s="7">
        <f>Optimistisch!F13</f>
        <v>4.179</v>
      </c>
      <c r="G13" s="7">
        <f>Optimistisch!G13</f>
        <v>4.474</v>
      </c>
      <c r="H13" s="8">
        <f>Optimistisch!H13</f>
        <v>3.73706295</v>
      </c>
      <c r="I13" s="8">
        <f>Optimistisch!I13</f>
        <v>4.23136867</v>
      </c>
      <c r="J13" s="8">
        <f>Optimistisch!J13</f>
        <v>4.96397778</v>
      </c>
      <c r="K13" s="8">
        <f t="shared" ref="K13:R13" si="5">K10*K12</f>
        <v>4.425630894</v>
      </c>
      <c r="L13" s="8">
        <f t="shared" si="5"/>
        <v>5.292316944</v>
      </c>
      <c r="M13" s="8">
        <f t="shared" si="5"/>
        <v>4.905074241</v>
      </c>
      <c r="N13" s="8">
        <f t="shared" si="5"/>
        <v>4.22878713</v>
      </c>
      <c r="O13" s="8">
        <f t="shared" si="5"/>
        <v>5.197563818</v>
      </c>
      <c r="P13" s="8">
        <f t="shared" si="5"/>
        <v>5.241543204</v>
      </c>
      <c r="Q13" s="8">
        <f t="shared" si="5"/>
        <v>5.256716092</v>
      </c>
      <c r="R13" s="8">
        <f t="shared" si="5"/>
        <v>5.165789111</v>
      </c>
    </row>
    <row r="14" ht="15.75" customHeight="1">
      <c r="A14" s="11">
        <v>0.3</v>
      </c>
      <c r="B14" s="2" t="s">
        <v>9</v>
      </c>
      <c r="C14" s="7">
        <f>Optimistisch!C14</f>
        <v>3.374</v>
      </c>
      <c r="D14" s="7">
        <f>Optimistisch!D14</f>
        <v>1.32</v>
      </c>
      <c r="E14" s="7">
        <f>Optimistisch!E14</f>
        <v>1.987</v>
      </c>
      <c r="F14" s="7">
        <f>Optimistisch!F14</f>
        <v>3.055</v>
      </c>
      <c r="G14" s="7">
        <f>Optimistisch!G14</f>
        <v>3.326</v>
      </c>
      <c r="H14" s="8">
        <f>Optimistisch!H14</f>
        <v>2.85030225</v>
      </c>
      <c r="I14" s="8">
        <f>Optimistisch!I14</f>
        <v>3.13515917</v>
      </c>
      <c r="J14" s="8">
        <f>Optimistisch!J14</f>
        <v>3.65889442</v>
      </c>
      <c r="K14" s="8">
        <f t="shared" ref="K14:R14" si="6">K13*(1-$A$14)</f>
        <v>3.097941626</v>
      </c>
      <c r="L14" s="8">
        <f t="shared" si="6"/>
        <v>3.704621861</v>
      </c>
      <c r="M14" s="8">
        <f t="shared" si="6"/>
        <v>3.433551969</v>
      </c>
      <c r="N14" s="8">
        <f t="shared" si="6"/>
        <v>2.960150991</v>
      </c>
      <c r="O14" s="8">
        <f t="shared" si="6"/>
        <v>3.638294672</v>
      </c>
      <c r="P14" s="8">
        <f t="shared" si="6"/>
        <v>3.669080243</v>
      </c>
      <c r="Q14" s="8">
        <f t="shared" si="6"/>
        <v>3.679701265</v>
      </c>
      <c r="R14" s="8">
        <f t="shared" si="6"/>
        <v>3.616052378</v>
      </c>
    </row>
    <row r="15" ht="15.75" customHeight="1">
      <c r="A15" s="11">
        <v>1.0</v>
      </c>
      <c r="B15" s="2" t="s">
        <v>10</v>
      </c>
      <c r="H15" s="8">
        <f>C33</f>
        <v>0.434788</v>
      </c>
      <c r="I15" s="8">
        <f t="shared" ref="I15:Q15" si="7">H15*$A$15</f>
        <v>0.434788</v>
      </c>
      <c r="J15" s="8">
        <f t="shared" si="7"/>
        <v>0.434788</v>
      </c>
      <c r="K15" s="8">
        <f t="shared" si="7"/>
        <v>0.434788</v>
      </c>
      <c r="L15" s="8">
        <f t="shared" si="7"/>
        <v>0.434788</v>
      </c>
      <c r="M15" s="8">
        <f t="shared" si="7"/>
        <v>0.434788</v>
      </c>
      <c r="N15" s="8">
        <f t="shared" si="7"/>
        <v>0.434788</v>
      </c>
      <c r="O15" s="8">
        <f t="shared" si="7"/>
        <v>0.434788</v>
      </c>
      <c r="P15" s="8">
        <f t="shared" si="7"/>
        <v>0.434788</v>
      </c>
      <c r="Q15" s="8">
        <f t="shared" si="7"/>
        <v>0.434788</v>
      </c>
      <c r="R15" s="6" t="s">
        <v>6</v>
      </c>
    </row>
    <row r="16" ht="15.75" customHeight="1">
      <c r="B16" s="2" t="s">
        <v>11</v>
      </c>
      <c r="H16" s="8">
        <f t="shared" ref="H16:Q16" si="8">H14/H15</f>
        <v>6.555613885</v>
      </c>
      <c r="I16" s="8">
        <f t="shared" si="8"/>
        <v>7.210776677</v>
      </c>
      <c r="J16" s="8">
        <f t="shared" si="8"/>
        <v>8.415352816</v>
      </c>
      <c r="K16" s="8">
        <f t="shared" si="8"/>
        <v>7.125177387</v>
      </c>
      <c r="L16" s="8">
        <f t="shared" si="8"/>
        <v>8.520524625</v>
      </c>
      <c r="M16" s="8">
        <f t="shared" si="8"/>
        <v>7.897071604</v>
      </c>
      <c r="N16" s="8">
        <f t="shared" si="8"/>
        <v>6.808262857</v>
      </c>
      <c r="O16" s="8">
        <f t="shared" si="8"/>
        <v>8.367973984</v>
      </c>
      <c r="P16" s="8">
        <f t="shared" si="8"/>
        <v>8.438779918</v>
      </c>
      <c r="Q16" s="8">
        <f t="shared" si="8"/>
        <v>8.463207965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2.675840148</v>
      </c>
      <c r="I17" s="14">
        <f>I14/(1+$B$29)^2</f>
        <v>2.76310949</v>
      </c>
      <c r="J17" s="14">
        <f>J14/(1+$B$29)^3</f>
        <v>3.027315104</v>
      </c>
      <c r="K17" s="14">
        <f>K14/(1+$B$29)^4</f>
        <v>2.406302542</v>
      </c>
      <c r="L17" s="14">
        <f>L14/(1+$B$29)^5</f>
        <v>2.701407709</v>
      </c>
      <c r="M17" s="14">
        <f>M14/(1+$B$29)^6</f>
        <v>2.35049388</v>
      </c>
      <c r="N17" s="14">
        <f>N14/(1+$B$29)^7</f>
        <v>1.902385879</v>
      </c>
      <c r="O17" s="14">
        <f>O14/(1+$B$29)^8</f>
        <v>2.195087669</v>
      </c>
      <c r="P17" s="14">
        <f>P14/(1+$B$29)^9</f>
        <v>2.078167073</v>
      </c>
      <c r="Q17" s="14">
        <f>Q14/(1+$B$29)^10</f>
        <v>1.956613571</v>
      </c>
      <c r="R17" s="15">
        <f>(R14/(B29-R11))/(1+B29)^10</f>
        <v>34.83341083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f>Optimistisch!B21</f>
        <v>0.02199</v>
      </c>
    </row>
    <row r="22" ht="15.75" customHeight="1">
      <c r="B22" s="18"/>
    </row>
    <row r="23" ht="15.75" customHeight="1">
      <c r="A23" s="2" t="s">
        <v>15</v>
      </c>
      <c r="B23" s="19">
        <f>(B25-B21)*B27</f>
        <v>0.043209</v>
      </c>
    </row>
    <row r="24" ht="15.75" customHeight="1">
      <c r="B24" s="18"/>
    </row>
    <row r="25" ht="15.75" customHeight="1">
      <c r="A25" s="2" t="s">
        <v>16</v>
      </c>
      <c r="B25" s="19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0">
        <f>Optimistisch!B27</f>
        <v>0.9</v>
      </c>
    </row>
    <row r="28" ht="15.75" customHeight="1">
      <c r="B28" s="18"/>
    </row>
    <row r="29" ht="15.75" customHeight="1">
      <c r="A29" s="21" t="s">
        <v>18</v>
      </c>
      <c r="B29" s="22">
        <f>B21+(B25-B21)*B27</f>
        <v>0.065199</v>
      </c>
    </row>
    <row r="30" ht="15.75" customHeight="1"/>
    <row r="31" ht="15.75" customHeight="1">
      <c r="A31" s="3"/>
      <c r="B31" s="3"/>
      <c r="C31" s="23">
        <f>Optimistisch!C31</f>
        <v>45268</v>
      </c>
      <c r="D31" s="24" t="s">
        <v>19</v>
      </c>
    </row>
    <row r="32" ht="15.75" customHeight="1">
      <c r="A32" s="5" t="s">
        <v>20</v>
      </c>
      <c r="B32" s="5" t="s">
        <v>21</v>
      </c>
      <c r="C32" s="8">
        <f>C33*C34</f>
        <v>61.739896</v>
      </c>
      <c r="D32" s="8">
        <f>SUM(H17:R17)</f>
        <v>58.8901339</v>
      </c>
    </row>
    <row r="33" ht="15.75" customHeight="1">
      <c r="A33" s="5"/>
      <c r="B33" s="5" t="s">
        <v>22</v>
      </c>
      <c r="C33" s="8">
        <f>Optimistisch!C33</f>
        <v>0.434788</v>
      </c>
      <c r="D33" s="8">
        <f>C33</f>
        <v>0.434788</v>
      </c>
    </row>
    <row r="34" ht="15.75" customHeight="1">
      <c r="A34" s="5"/>
      <c r="B34" s="5" t="s">
        <v>23</v>
      </c>
      <c r="C34" s="8">
        <f>Optimistisch!C34</f>
        <v>142</v>
      </c>
      <c r="D34" s="8">
        <f>D32/D33</f>
        <v>135.4456284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0.04839116359</v>
      </c>
    </row>
    <row r="37" ht="15.75" customHeight="1">
      <c r="A37" s="26"/>
      <c r="B37" s="26"/>
      <c r="C37" s="26"/>
      <c r="D37" s="26"/>
    </row>
    <row r="38" ht="15.75" customHeight="1">
      <c r="A38" s="27" t="s">
        <v>26</v>
      </c>
      <c r="B38" s="28"/>
      <c r="C38" s="28"/>
      <c r="D38" s="17"/>
    </row>
    <row r="39" ht="15.75" customHeight="1">
      <c r="A39" s="29"/>
      <c r="D39" s="18"/>
    </row>
    <row r="40" ht="15.75" customHeight="1">
      <c r="A40" s="29" t="str">
        <f>"KGV in "&amp;Q9&amp;":"</f>
        <v>KGV in 2032:</v>
      </c>
      <c r="D40" s="20">
        <v>16.0</v>
      </c>
    </row>
    <row r="41" ht="15.75" customHeight="1">
      <c r="A41" s="29"/>
      <c r="D41" s="18"/>
    </row>
    <row r="42" ht="15.75" customHeight="1">
      <c r="A42" s="29" t="str">
        <f>"Aktienkurs in "&amp;Q9&amp;":"</f>
        <v>Aktienkurs in 2032:</v>
      </c>
      <c r="D42" s="20">
        <f>Q16*D40</f>
        <v>135.4113274</v>
      </c>
    </row>
    <row r="43" ht="15.75" customHeight="1">
      <c r="A43" s="29"/>
      <c r="D43" s="18"/>
    </row>
    <row r="44" ht="15.75" customHeight="1">
      <c r="A44" s="29" t="s">
        <v>27</v>
      </c>
      <c r="D44" s="19">
        <v>0.2</v>
      </c>
    </row>
    <row r="45" ht="15.75" customHeight="1">
      <c r="A45" s="29"/>
      <c r="D45" s="18"/>
    </row>
    <row r="46" ht="15.75" customHeight="1">
      <c r="A46" s="29" t="s">
        <v>28</v>
      </c>
      <c r="D46" s="20">
        <f>D44*SUM(H16:Q16)</f>
        <v>15.56054834</v>
      </c>
    </row>
    <row r="47" ht="15.75" customHeight="1">
      <c r="A47" s="29"/>
      <c r="D47" s="18"/>
    </row>
    <row r="48" ht="15.75" customHeight="1">
      <c r="A48" s="29" t="s">
        <v>29</v>
      </c>
      <c r="D48" s="19">
        <f>Optimistisch!D48</f>
        <v>0</v>
      </c>
    </row>
    <row r="49" ht="15.75" customHeight="1">
      <c r="A49" s="29"/>
      <c r="D49" s="18"/>
    </row>
    <row r="50" ht="15.75" customHeight="1">
      <c r="A50" s="29" t="str">
        <f>"Gesamtwert "&amp;Q9</f>
        <v>Gesamtwert 2032</v>
      </c>
      <c r="D50" s="20">
        <f>D42+D46*(1-D48)</f>
        <v>150.9718758</v>
      </c>
    </row>
    <row r="51" ht="15.75" customHeight="1">
      <c r="A51" s="29"/>
      <c r="D51" s="18"/>
    </row>
    <row r="52" ht="15.75" customHeight="1">
      <c r="A52" s="29" t="str">
        <f>"Steigerung bis "&amp;Q9</f>
        <v>Steigerung bis 2032</v>
      </c>
      <c r="D52" s="19">
        <f>D50/C34-1</f>
        <v>0.06318222379</v>
      </c>
    </row>
    <row r="53" ht="15.75" customHeight="1">
      <c r="A53" s="29"/>
      <c r="D53" s="18"/>
    </row>
    <row r="54" ht="15.75" customHeight="1">
      <c r="A54" s="30" t="str">
        <f>"Renditeerwartung bis "&amp;Q9&amp;" pro Jahr"</f>
        <v>Renditeerwartung bis 2032 pro Jahr</v>
      </c>
      <c r="B54" s="31"/>
      <c r="C54" s="31"/>
      <c r="D54" s="32">
        <f>(D50/C34)^(1/10)-1</f>
        <v>0.006145457187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Merck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2018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f>Optimistisch!C10</f>
        <v>14.836</v>
      </c>
      <c r="D10" s="7">
        <f>Optimistisch!D10</f>
        <v>16.152</v>
      </c>
      <c r="E10" s="7">
        <f>Optimistisch!E10</f>
        <v>17.534</v>
      </c>
      <c r="F10" s="7">
        <f>Optimistisch!F10</f>
        <v>19.687</v>
      </c>
      <c r="G10" s="7">
        <f>Optimistisch!G10</f>
        <v>22.232</v>
      </c>
      <c r="H10" s="8">
        <f t="shared" ref="H10:R10" si="2">G10*(1+H11)</f>
        <v>22.34316</v>
      </c>
      <c r="I10" s="8">
        <f t="shared" si="2"/>
        <v>22.4548758</v>
      </c>
      <c r="J10" s="8">
        <f t="shared" si="2"/>
        <v>22.56715018</v>
      </c>
      <c r="K10" s="8">
        <f t="shared" si="2"/>
        <v>22.67998593</v>
      </c>
      <c r="L10" s="8">
        <f t="shared" si="2"/>
        <v>22.79338586</v>
      </c>
      <c r="M10" s="8">
        <f t="shared" si="2"/>
        <v>22.90735279</v>
      </c>
      <c r="N10" s="8">
        <f t="shared" si="2"/>
        <v>23.02188955</v>
      </c>
      <c r="O10" s="8">
        <f t="shared" si="2"/>
        <v>23.136999</v>
      </c>
      <c r="P10" s="8">
        <f t="shared" si="2"/>
        <v>23.252684</v>
      </c>
      <c r="Q10" s="8">
        <f t="shared" si="2"/>
        <v>23.36894742</v>
      </c>
      <c r="R10" s="8">
        <f t="shared" si="2"/>
        <v>23.48579215</v>
      </c>
    </row>
    <row r="11" ht="15.75" customHeight="1">
      <c r="B11" s="2" t="s">
        <v>5</v>
      </c>
      <c r="C11" s="9" t="s">
        <v>6</v>
      </c>
      <c r="D11" s="10">
        <f t="shared" ref="D11:G11" si="3">D10/C10-1</f>
        <v>0.08870315449</v>
      </c>
      <c r="E11" s="10">
        <f t="shared" si="3"/>
        <v>0.08556215948</v>
      </c>
      <c r="F11" s="10">
        <f t="shared" si="3"/>
        <v>0.122790008</v>
      </c>
      <c r="G11" s="10">
        <f t="shared" si="3"/>
        <v>0.1292731244</v>
      </c>
      <c r="H11" s="11">
        <v>0.005</v>
      </c>
      <c r="I11" s="11">
        <f t="shared" ref="I11:R11" si="4">$H$11</f>
        <v>0.005</v>
      </c>
      <c r="J11" s="11">
        <f t="shared" si="4"/>
        <v>0.005</v>
      </c>
      <c r="K11" s="11">
        <f t="shared" si="4"/>
        <v>0.005</v>
      </c>
      <c r="L11" s="11">
        <f t="shared" si="4"/>
        <v>0.005</v>
      </c>
      <c r="M11" s="11">
        <f t="shared" si="4"/>
        <v>0.005</v>
      </c>
      <c r="N11" s="11">
        <f t="shared" si="4"/>
        <v>0.005</v>
      </c>
      <c r="O11" s="11">
        <f t="shared" si="4"/>
        <v>0.005</v>
      </c>
      <c r="P11" s="11">
        <f t="shared" si="4"/>
        <v>0.005</v>
      </c>
      <c r="Q11" s="11">
        <f t="shared" si="4"/>
        <v>0.005</v>
      </c>
      <c r="R11" s="11">
        <f t="shared" si="4"/>
        <v>0.005</v>
      </c>
    </row>
    <row r="12" ht="15.75" customHeight="1">
      <c r="B12" s="2" t="s">
        <v>7</v>
      </c>
      <c r="C12" s="10">
        <f t="shared" ref="C12:G12" si="5">C13/C10</f>
        <v>0.1164060394</v>
      </c>
      <c r="D12" s="10">
        <f t="shared" si="5"/>
        <v>0.1312530956</v>
      </c>
      <c r="E12" s="10">
        <f t="shared" si="5"/>
        <v>0.1702406753</v>
      </c>
      <c r="F12" s="10">
        <f t="shared" si="5"/>
        <v>0.2122720577</v>
      </c>
      <c r="G12" s="10">
        <f t="shared" si="5"/>
        <v>0.2012414538</v>
      </c>
      <c r="H12" s="11">
        <f>Optimistisch!H12</f>
        <v>0.177</v>
      </c>
      <c r="I12" s="11">
        <f>Optimistisch!I12</f>
        <v>0.193</v>
      </c>
      <c r="J12" s="11">
        <f>Optimistisch!J12</f>
        <v>0.213</v>
      </c>
      <c r="K12" s="11">
        <f>Optimistisch!K12</f>
        <v>0.215</v>
      </c>
      <c r="L12" s="11">
        <f>Optimistisch!L12</f>
        <v>0.2175</v>
      </c>
      <c r="M12" s="11">
        <f>Optimistisch!M12</f>
        <v>0.22</v>
      </c>
      <c r="N12" s="11">
        <f>Optimistisch!N12</f>
        <v>0.2225</v>
      </c>
      <c r="O12" s="11">
        <f>Optimistisch!O12</f>
        <v>0.18</v>
      </c>
      <c r="P12" s="11">
        <f>Optimistisch!P12</f>
        <v>0.225</v>
      </c>
      <c r="Q12" s="11">
        <f>Optimistisch!Q12</f>
        <v>0.23</v>
      </c>
      <c r="R12" s="11">
        <f>Optimistisch!R12</f>
        <v>0.23</v>
      </c>
    </row>
    <row r="13" ht="15.75" customHeight="1">
      <c r="B13" s="2" t="s">
        <v>8</v>
      </c>
      <c r="C13" s="7">
        <f>Optimistisch!C13</f>
        <v>1.727</v>
      </c>
      <c r="D13" s="7">
        <f>Optimistisch!D13</f>
        <v>2.12</v>
      </c>
      <c r="E13" s="7">
        <f>Optimistisch!E13</f>
        <v>2.985</v>
      </c>
      <c r="F13" s="7">
        <f>Optimistisch!F13</f>
        <v>4.179</v>
      </c>
      <c r="G13" s="7">
        <f>Optimistisch!G13</f>
        <v>4.474</v>
      </c>
      <c r="H13" s="8">
        <f t="shared" ref="H13:R13" si="6">H10*H12</f>
        <v>3.95473932</v>
      </c>
      <c r="I13" s="8">
        <f t="shared" si="6"/>
        <v>4.333791029</v>
      </c>
      <c r="J13" s="8">
        <f t="shared" si="6"/>
        <v>4.806802988</v>
      </c>
      <c r="K13" s="8">
        <f t="shared" si="6"/>
        <v>4.876196975</v>
      </c>
      <c r="L13" s="8">
        <f t="shared" si="6"/>
        <v>4.957561424</v>
      </c>
      <c r="M13" s="8">
        <f t="shared" si="6"/>
        <v>5.039617614</v>
      </c>
      <c r="N13" s="8">
        <f t="shared" si="6"/>
        <v>5.122370425</v>
      </c>
      <c r="O13" s="8">
        <f t="shared" si="6"/>
        <v>4.16465982</v>
      </c>
      <c r="P13" s="8">
        <f t="shared" si="6"/>
        <v>5.231853899</v>
      </c>
      <c r="Q13" s="8">
        <f t="shared" si="6"/>
        <v>5.374857906</v>
      </c>
      <c r="R13" s="8">
        <f t="shared" si="6"/>
        <v>5.401732195</v>
      </c>
    </row>
    <row r="14" ht="15.75" customHeight="1">
      <c r="A14" s="11">
        <f>Optimistisch!A14</f>
        <v>0.25</v>
      </c>
      <c r="B14" s="2" t="s">
        <v>9</v>
      </c>
      <c r="C14" s="7">
        <f>Optimistisch!C14</f>
        <v>3.374</v>
      </c>
      <c r="D14" s="7">
        <f>Optimistisch!D14</f>
        <v>1.32</v>
      </c>
      <c r="E14" s="7">
        <f>Optimistisch!E14</f>
        <v>1.987</v>
      </c>
      <c r="F14" s="7">
        <f>Optimistisch!F14</f>
        <v>3.055</v>
      </c>
      <c r="G14" s="7">
        <f>Optimistisch!G14</f>
        <v>3.326</v>
      </c>
      <c r="H14" s="8">
        <f t="shared" ref="H14:R14" si="7">H13*(1-$A$14)</f>
        <v>2.96605449</v>
      </c>
      <c r="I14" s="8">
        <f t="shared" si="7"/>
        <v>3.250343272</v>
      </c>
      <c r="J14" s="8">
        <f t="shared" si="7"/>
        <v>3.605102241</v>
      </c>
      <c r="K14" s="8">
        <f t="shared" si="7"/>
        <v>3.657147731</v>
      </c>
      <c r="L14" s="8">
        <f t="shared" si="7"/>
        <v>3.718171068</v>
      </c>
      <c r="M14" s="8">
        <f t="shared" si="7"/>
        <v>3.77971321</v>
      </c>
      <c r="N14" s="8">
        <f t="shared" si="7"/>
        <v>3.841777819</v>
      </c>
      <c r="O14" s="8">
        <f t="shared" si="7"/>
        <v>3.123494865</v>
      </c>
      <c r="P14" s="8">
        <f t="shared" si="7"/>
        <v>3.923890424</v>
      </c>
      <c r="Q14" s="8">
        <f t="shared" si="7"/>
        <v>4.031143429</v>
      </c>
      <c r="R14" s="8">
        <f t="shared" si="7"/>
        <v>4.051299146</v>
      </c>
    </row>
    <row r="15" ht="15.75" customHeight="1">
      <c r="A15" s="11">
        <f>Optimistisch!A15</f>
        <v>1</v>
      </c>
      <c r="B15" s="2" t="s">
        <v>10</v>
      </c>
      <c r="H15" s="8">
        <f>C33</f>
        <v>0.434788</v>
      </c>
      <c r="I15" s="8">
        <f t="shared" ref="I15:Q15" si="8">H15*$A$15</f>
        <v>0.434788</v>
      </c>
      <c r="J15" s="8">
        <f t="shared" si="8"/>
        <v>0.434788</v>
      </c>
      <c r="K15" s="8">
        <f t="shared" si="8"/>
        <v>0.434788</v>
      </c>
      <c r="L15" s="8">
        <f t="shared" si="8"/>
        <v>0.434788</v>
      </c>
      <c r="M15" s="8">
        <f t="shared" si="8"/>
        <v>0.434788</v>
      </c>
      <c r="N15" s="8">
        <f t="shared" si="8"/>
        <v>0.434788</v>
      </c>
      <c r="O15" s="8">
        <f t="shared" si="8"/>
        <v>0.434788</v>
      </c>
      <c r="P15" s="8">
        <f t="shared" si="8"/>
        <v>0.434788</v>
      </c>
      <c r="Q15" s="8">
        <f t="shared" si="8"/>
        <v>0.434788</v>
      </c>
      <c r="R15" s="6" t="s">
        <v>6</v>
      </c>
    </row>
    <row r="16" ht="15.75" customHeight="1">
      <c r="B16" s="2" t="s">
        <v>11</v>
      </c>
      <c r="H16" s="8">
        <f t="shared" ref="H16:Q16" si="9">H14/H15</f>
        <v>6.821840736</v>
      </c>
      <c r="I16" s="8">
        <f t="shared" si="9"/>
        <v>7.475696827</v>
      </c>
      <c r="J16" s="8">
        <f t="shared" si="9"/>
        <v>8.291632338</v>
      </c>
      <c r="K16" s="8">
        <f t="shared" si="9"/>
        <v>8.411335481</v>
      </c>
      <c r="L16" s="8">
        <f t="shared" si="9"/>
        <v>8.551687416</v>
      </c>
      <c r="M16" s="8">
        <f t="shared" si="9"/>
        <v>8.693232587</v>
      </c>
      <c r="N16" s="8">
        <f t="shared" si="9"/>
        <v>8.835979418</v>
      </c>
      <c r="O16" s="8">
        <f t="shared" si="9"/>
        <v>7.183949109</v>
      </c>
      <c r="P16" s="8">
        <f t="shared" si="9"/>
        <v>9.024836068</v>
      </c>
      <c r="Q16" s="8">
        <f t="shared" si="9"/>
        <v>9.27151492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2.784507393</v>
      </c>
      <c r="I17" s="14">
        <f>I14/(1+$B$29)^2</f>
        <v>2.864624682</v>
      </c>
      <c r="J17" s="14">
        <f>J14/(1+$B$29)^3</f>
        <v>2.982808251</v>
      </c>
      <c r="K17" s="14">
        <f>K14/(1+$B$29)^4</f>
        <v>2.840661622</v>
      </c>
      <c r="L17" s="14">
        <f>L14/(1+$B$29)^5</f>
        <v>2.711287782</v>
      </c>
      <c r="M17" s="14">
        <f>M14/(1+$B$29)^6</f>
        <v>2.587464191</v>
      </c>
      <c r="N17" s="14">
        <f>N14/(1+$B$29)^7</f>
        <v>2.468976717</v>
      </c>
      <c r="O17" s="14">
        <f>O14/(1+$B$29)^8</f>
        <v>1.88449416</v>
      </c>
      <c r="P17" s="14">
        <f>P14/(1+$B$29)^9</f>
        <v>2.222491561</v>
      </c>
      <c r="Q17" s="14">
        <f>Q14/(1+$B$29)^10</f>
        <v>2.143486488</v>
      </c>
      <c r="R17" s="15">
        <f>(R14/(B29-R11))/(1+B29)^10</f>
        <v>35.78471271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f>Optimistisch!B21</f>
        <v>0.02199</v>
      </c>
    </row>
    <row r="22" ht="15.75" customHeight="1">
      <c r="B22" s="18"/>
    </row>
    <row r="23" ht="15.75" customHeight="1">
      <c r="A23" s="2" t="s">
        <v>15</v>
      </c>
      <c r="B23" s="19">
        <f>(B25-B21)*B27</f>
        <v>0.043209</v>
      </c>
    </row>
    <row r="24" ht="15.75" customHeight="1">
      <c r="B24" s="18"/>
    </row>
    <row r="25" ht="15.75" customHeight="1">
      <c r="A25" s="2" t="s">
        <v>16</v>
      </c>
      <c r="B25" s="19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0">
        <f>Optimistisch!B27</f>
        <v>0.9</v>
      </c>
    </row>
    <row r="28" ht="15.75" customHeight="1">
      <c r="B28" s="18"/>
    </row>
    <row r="29" ht="15.75" customHeight="1">
      <c r="A29" s="21" t="s">
        <v>18</v>
      </c>
      <c r="B29" s="22">
        <f>B21+(B25-B21)*B27</f>
        <v>0.065199</v>
      </c>
    </row>
    <row r="30" ht="15.75" customHeight="1"/>
    <row r="31" ht="15.75" customHeight="1">
      <c r="A31" s="3"/>
      <c r="B31" s="3"/>
      <c r="C31" s="23">
        <f>Optimistisch!C31</f>
        <v>45268</v>
      </c>
      <c r="D31" s="24" t="s">
        <v>19</v>
      </c>
    </row>
    <row r="32" ht="15.75" customHeight="1">
      <c r="A32" s="5" t="s">
        <v>20</v>
      </c>
      <c r="B32" s="5" t="s">
        <v>21</v>
      </c>
      <c r="C32" s="8">
        <f>C33*C34</f>
        <v>61.739896</v>
      </c>
      <c r="D32" s="8">
        <f>SUM(H17:R17)</f>
        <v>61.27551556</v>
      </c>
    </row>
    <row r="33" ht="15.75" customHeight="1">
      <c r="A33" s="5"/>
      <c r="B33" s="5" t="s">
        <v>22</v>
      </c>
      <c r="C33" s="8">
        <f>Optimistisch!C33</f>
        <v>0.434788</v>
      </c>
      <c r="D33" s="8">
        <f>C33</f>
        <v>0.434788</v>
      </c>
    </row>
    <row r="34" ht="15.75" customHeight="1">
      <c r="A34" s="5"/>
      <c r="B34" s="5" t="s">
        <v>23</v>
      </c>
      <c r="C34" s="8">
        <f>Optimistisch!C34</f>
        <v>142</v>
      </c>
      <c r="D34" s="8">
        <f>D32/D33</f>
        <v>140.9319382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0.007578564421</v>
      </c>
    </row>
    <row r="37" ht="15.75" customHeight="1">
      <c r="A37" s="26"/>
      <c r="B37" s="26"/>
      <c r="C37" s="26"/>
      <c r="D37" s="26"/>
    </row>
    <row r="38" ht="15.75" customHeight="1">
      <c r="A38" s="27" t="s">
        <v>26</v>
      </c>
      <c r="B38" s="28"/>
      <c r="C38" s="28"/>
      <c r="D38" s="17"/>
    </row>
    <row r="39" ht="15.75" customHeight="1">
      <c r="A39" s="29"/>
      <c r="D39" s="18"/>
    </row>
    <row r="40" ht="15.75" customHeight="1">
      <c r="A40" s="29" t="str">
        <f>"KGV in "&amp;Q9&amp;":"</f>
        <v>KGV in 2032:</v>
      </c>
      <c r="D40" s="20">
        <v>36.0</v>
      </c>
    </row>
    <row r="41" ht="15.75" customHeight="1">
      <c r="A41" s="29"/>
      <c r="D41" s="18"/>
    </row>
    <row r="42" ht="15.75" customHeight="1">
      <c r="A42" s="29" t="str">
        <f>"Aktienkurs in "&amp;Q9&amp;":"</f>
        <v>Aktienkurs in 2032:</v>
      </c>
      <c r="D42" s="20">
        <f>Q16*D40</f>
        <v>333.7745371</v>
      </c>
    </row>
    <row r="43" ht="15.75" customHeight="1">
      <c r="A43" s="29"/>
      <c r="D43" s="18"/>
    </row>
    <row r="44" ht="15.75" customHeight="1">
      <c r="A44" s="29" t="s">
        <v>27</v>
      </c>
      <c r="D44" s="19">
        <f>Optimistisch!D44</f>
        <v>0.45</v>
      </c>
    </row>
    <row r="45" ht="15.75" customHeight="1">
      <c r="A45" s="29"/>
      <c r="D45" s="18"/>
    </row>
    <row r="46" ht="15.75" customHeight="1">
      <c r="A46" s="29" t="s">
        <v>28</v>
      </c>
      <c r="D46" s="20">
        <f>D44*SUM(H16:Q16)</f>
        <v>37.15276721</v>
      </c>
    </row>
    <row r="47" ht="15.75" customHeight="1">
      <c r="A47" s="29"/>
      <c r="D47" s="18"/>
    </row>
    <row r="48" ht="15.75" customHeight="1">
      <c r="A48" s="29" t="s">
        <v>29</v>
      </c>
      <c r="D48" s="19">
        <f>Optimistisch!D48</f>
        <v>0</v>
      </c>
    </row>
    <row r="49" ht="15.75" customHeight="1">
      <c r="A49" s="29"/>
      <c r="D49" s="18"/>
    </row>
    <row r="50" ht="15.75" customHeight="1">
      <c r="A50" s="29" t="str">
        <f>"Gesamtwert "&amp;Q9</f>
        <v>Gesamtwert 2032</v>
      </c>
      <c r="D50" s="20">
        <f>D42+D46*(1-D48)</f>
        <v>370.9273043</v>
      </c>
    </row>
    <row r="51" ht="15.75" customHeight="1">
      <c r="A51" s="29"/>
      <c r="D51" s="18"/>
    </row>
    <row r="52" ht="15.75" customHeight="1">
      <c r="A52" s="29" t="str">
        <f>"Steigerung bis "&amp;Q9</f>
        <v>Steigerung bis 2032</v>
      </c>
      <c r="D52" s="19">
        <f>D50/C34-1</f>
        <v>1.612164115</v>
      </c>
    </row>
    <row r="53" ht="15.75" customHeight="1">
      <c r="A53" s="29"/>
      <c r="D53" s="18"/>
    </row>
    <row r="54" ht="15.75" customHeight="1">
      <c r="A54" s="30" t="str">
        <f>"Renditeerwartung bis "&amp;Q9&amp;" pro Jahr"</f>
        <v>Renditeerwartung bis 2032 pro Jahr</v>
      </c>
      <c r="B54" s="31"/>
      <c r="C54" s="31"/>
      <c r="D54" s="32">
        <f>(D50/C34)^(1/10)-1</f>
        <v>0.1007787722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30</v>
      </c>
    </row>
    <row r="3" ht="15.75" customHeight="1"/>
    <row r="4" ht="15.75" customHeight="1">
      <c r="B4" s="2" t="str">
        <f>Optimistisch!B4</f>
        <v>Annahmen für Merck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2018</v>
      </c>
      <c r="D9" s="2">
        <f t="shared" ref="D9:M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R9" s="9"/>
    </row>
    <row r="10" ht="15.75" customHeight="1">
      <c r="B10" s="2" t="s">
        <v>4</v>
      </c>
      <c r="C10" s="7">
        <f>Optimistisch!C10</f>
        <v>14.836</v>
      </c>
      <c r="D10" s="7">
        <f>Optimistisch!D10</f>
        <v>16.152</v>
      </c>
      <c r="E10" s="7">
        <f>Optimistisch!E10</f>
        <v>17.534</v>
      </c>
      <c r="F10" s="7">
        <f>Optimistisch!F10</f>
        <v>19.687</v>
      </c>
      <c r="G10" s="7">
        <f>Optimistisch!G10</f>
        <v>22.232</v>
      </c>
      <c r="H10" s="8">
        <f>Optimistisch!H10</f>
        <v>21.11335</v>
      </c>
      <c r="I10" s="8">
        <f>Optimistisch!I10</f>
        <v>21.92419</v>
      </c>
      <c r="J10" s="8">
        <f>Optimistisch!J10</f>
        <v>23.30506</v>
      </c>
      <c r="K10" s="8">
        <f>(Optimistisch!K10+Pessimistisch!K10)/2</f>
        <v>24.9364142</v>
      </c>
      <c r="L10" s="8">
        <f>(Optimistisch!L10+Pessimistisch!L10)/2</f>
        <v>26.56252476</v>
      </c>
      <c r="M10" s="8">
        <f>(Optimistisch!M10+Pessimistisch!M10)/2</f>
        <v>26.94120286</v>
      </c>
      <c r="N10" s="7"/>
      <c r="O10" s="7"/>
      <c r="P10" s="7"/>
      <c r="Q10" s="7"/>
      <c r="R10" s="7"/>
    </row>
    <row r="11" ht="15.75" customHeight="1">
      <c r="B11" s="2" t="s">
        <v>31</v>
      </c>
      <c r="C11" s="10">
        <f t="shared" ref="C11:G11" si="2">C12/C10</f>
        <v>0.0882313292</v>
      </c>
      <c r="D11" s="10">
        <f t="shared" si="2"/>
        <v>0.1264858841</v>
      </c>
      <c r="E11" s="10">
        <f t="shared" si="2"/>
        <v>0.1177711874</v>
      </c>
      <c r="F11" s="10">
        <f t="shared" si="2"/>
        <v>0.1803220399</v>
      </c>
      <c r="G11" s="10">
        <f t="shared" si="2"/>
        <v>0.1227060094</v>
      </c>
      <c r="H11" s="11">
        <v>0.16</v>
      </c>
      <c r="I11" s="11">
        <v>0.145</v>
      </c>
      <c r="J11" s="11">
        <v>0.154</v>
      </c>
      <c r="K11" s="11">
        <v>0.125</v>
      </c>
      <c r="L11" s="11">
        <v>0.135</v>
      </c>
      <c r="M11" s="11">
        <v>0.15</v>
      </c>
      <c r="N11" s="10"/>
      <c r="O11" s="10"/>
      <c r="P11" s="10"/>
      <c r="Q11" s="10"/>
      <c r="R11" s="10"/>
    </row>
    <row r="12" ht="15.75" customHeight="1">
      <c r="B12" s="2" t="s">
        <v>32</v>
      </c>
      <c r="C12" s="7">
        <v>1.309</v>
      </c>
      <c r="D12" s="7">
        <v>2.043</v>
      </c>
      <c r="E12" s="7">
        <v>2.065</v>
      </c>
      <c r="F12" s="7">
        <v>3.55</v>
      </c>
      <c r="G12" s="7">
        <v>2.728</v>
      </c>
      <c r="H12" s="8">
        <f t="shared" ref="H12:M12" si="3">H10*H11</f>
        <v>3.378136</v>
      </c>
      <c r="I12" s="8">
        <f t="shared" si="3"/>
        <v>3.17900755</v>
      </c>
      <c r="J12" s="8">
        <f t="shared" si="3"/>
        <v>3.58897924</v>
      </c>
      <c r="K12" s="8">
        <f t="shared" si="3"/>
        <v>3.117051775</v>
      </c>
      <c r="L12" s="8">
        <f t="shared" si="3"/>
        <v>3.585940843</v>
      </c>
      <c r="M12" s="8">
        <f t="shared" si="3"/>
        <v>4.041180428</v>
      </c>
      <c r="N12" s="7"/>
      <c r="O12" s="7"/>
      <c r="P12" s="7"/>
      <c r="Q12" s="7"/>
      <c r="R12" s="7"/>
    </row>
    <row r="13" ht="15.75" customHeight="1">
      <c r="F13" s="12" t="s">
        <v>33</v>
      </c>
      <c r="G13" s="13"/>
      <c r="H13" s="14">
        <f>H12/(1+$B$37)</f>
        <v>3.185624348</v>
      </c>
      <c r="I13" s="14">
        <f>I12/(1+$B$37)^2</f>
        <v>2.827004005</v>
      </c>
      <c r="J13" s="14">
        <f>J12/(1+$B$37)^3</f>
        <v>3.009700239</v>
      </c>
      <c r="K13" s="14">
        <f>K12/(1+$B$37)^4</f>
        <v>2.464981958</v>
      </c>
      <c r="L13" s="14">
        <f>L12/(1+$B$37)^5</f>
        <v>2.674177816</v>
      </c>
      <c r="M13" s="15">
        <f>(M12/(B37-B39))/(1+B37)^5</f>
        <v>74.53785919</v>
      </c>
      <c r="N13" s="7"/>
      <c r="O13" s="7"/>
      <c r="P13" s="7"/>
      <c r="Q13" s="7"/>
      <c r="R13" s="7"/>
    </row>
    <row r="14" ht="15.75" customHeight="1"/>
    <row r="15" ht="15.75" customHeight="1">
      <c r="A15" s="16" t="s">
        <v>13</v>
      </c>
      <c r="B15" s="17"/>
    </row>
    <row r="16" ht="15.75" customHeight="1">
      <c r="B16" s="18"/>
    </row>
    <row r="17" ht="15.75" customHeight="1">
      <c r="A17" s="2" t="s">
        <v>14</v>
      </c>
      <c r="B17" s="19">
        <f>Optimistisch!B21</f>
        <v>0.02199</v>
      </c>
    </row>
    <row r="18" ht="15.75" customHeight="1">
      <c r="B18" s="18"/>
    </row>
    <row r="19" ht="15.75" customHeight="1">
      <c r="A19" s="2" t="s">
        <v>15</v>
      </c>
      <c r="B19" s="19">
        <f>(B21-B17)*B23</f>
        <v>0.043209</v>
      </c>
    </row>
    <row r="20" ht="15.75" customHeight="1">
      <c r="B20" s="18"/>
    </row>
    <row r="21" ht="15.75" customHeight="1">
      <c r="A21" s="2" t="s">
        <v>16</v>
      </c>
      <c r="B21" s="19">
        <f>Optimistisch!B25</f>
        <v>0.07</v>
      </c>
    </row>
    <row r="22" ht="15.75" customHeight="1">
      <c r="B22" s="18"/>
    </row>
    <row r="23" ht="15.75" customHeight="1">
      <c r="A23" s="2" t="s">
        <v>17</v>
      </c>
      <c r="B23" s="20">
        <f>Optimistisch!B27</f>
        <v>0.9</v>
      </c>
    </row>
    <row r="24" ht="15.75" customHeight="1">
      <c r="B24" s="18"/>
    </row>
    <row r="25" ht="15.75" customHeight="1">
      <c r="A25" s="21" t="s">
        <v>18</v>
      </c>
      <c r="B25" s="22">
        <f>B17+(B21-B17)*B23</f>
        <v>0.065199</v>
      </c>
    </row>
    <row r="26" ht="15.75" customHeight="1"/>
    <row r="27" ht="15.75" customHeight="1">
      <c r="A27" s="27" t="s">
        <v>34</v>
      </c>
      <c r="B27" s="17"/>
    </row>
    <row r="28" ht="15.75" customHeight="1">
      <c r="A28" s="29"/>
      <c r="B28" s="18"/>
    </row>
    <row r="29" ht="15.75" customHeight="1">
      <c r="A29" s="29" t="s">
        <v>35</v>
      </c>
      <c r="B29" s="20">
        <f>C42</f>
        <v>61.739896</v>
      </c>
    </row>
    <row r="30" ht="15.75" customHeight="1">
      <c r="A30" s="29"/>
      <c r="B30" s="18"/>
    </row>
    <row r="31" ht="15.75" customHeight="1">
      <c r="A31" s="29" t="s">
        <v>36</v>
      </c>
      <c r="B31" s="20">
        <v>8.426</v>
      </c>
    </row>
    <row r="32" ht="15.75" customHeight="1">
      <c r="A32" s="29"/>
      <c r="B32" s="18"/>
    </row>
    <row r="33" ht="15.75" customHeight="1">
      <c r="A33" s="29" t="s">
        <v>37</v>
      </c>
      <c r="B33" s="19">
        <v>0.0329</v>
      </c>
    </row>
    <row r="34" ht="15.75" customHeight="1">
      <c r="A34" s="29"/>
      <c r="B34" s="18"/>
    </row>
    <row r="35" ht="15.75" customHeight="1">
      <c r="A35" s="29" t="s">
        <v>38</v>
      </c>
      <c r="B35" s="19">
        <v>0.225</v>
      </c>
    </row>
    <row r="36" ht="15.75" customHeight="1">
      <c r="A36" s="29"/>
      <c r="B36" s="18"/>
    </row>
    <row r="37" ht="15.75" customHeight="1">
      <c r="A37" s="33" t="s">
        <v>39</v>
      </c>
      <c r="B37" s="22">
        <f>B25*(B29/(B29+B31))+B33*(B31/(B29+B31))*(1-B35)</f>
        <v>0.06043137273</v>
      </c>
    </row>
    <row r="38" ht="15.75" customHeight="1">
      <c r="B38" s="10"/>
    </row>
    <row r="39" ht="15.75" customHeight="1">
      <c r="A39" s="2" t="s">
        <v>40</v>
      </c>
      <c r="B39" s="10">
        <v>0.02</v>
      </c>
    </row>
    <row r="40" ht="15.75" customHeight="1"/>
    <row r="41" ht="15.75" customHeight="1">
      <c r="A41" s="3"/>
      <c r="B41" s="3"/>
      <c r="C41" s="23">
        <f>Optimistisch!C31</f>
        <v>45268</v>
      </c>
      <c r="D41" s="24" t="s">
        <v>19</v>
      </c>
    </row>
    <row r="42" ht="15.75" customHeight="1">
      <c r="A42" s="5" t="s">
        <v>20</v>
      </c>
      <c r="B42" s="5" t="s">
        <v>21</v>
      </c>
      <c r="C42" s="8">
        <f>C43*C44</f>
        <v>61.739896</v>
      </c>
      <c r="D42" s="8">
        <f>SUM(H13:M13)-B31</f>
        <v>80.27334756</v>
      </c>
    </row>
    <row r="43" ht="15.75" customHeight="1">
      <c r="A43" s="5"/>
      <c r="B43" s="5" t="s">
        <v>22</v>
      </c>
      <c r="C43" s="8">
        <f>Optimistisch!C33</f>
        <v>0.434788</v>
      </c>
      <c r="D43" s="8">
        <f>C43</f>
        <v>0.434788</v>
      </c>
    </row>
    <row r="44" ht="15.75" customHeight="1">
      <c r="A44" s="5"/>
      <c r="B44" s="5" t="s">
        <v>23</v>
      </c>
      <c r="C44" s="8">
        <f>Optimistisch!C34</f>
        <v>142</v>
      </c>
      <c r="D44" s="8">
        <f>D42/D43</f>
        <v>184.62641</v>
      </c>
    </row>
    <row r="45" ht="15.75" customHeight="1">
      <c r="A45" s="5"/>
      <c r="B45" s="5" t="s">
        <v>24</v>
      </c>
      <c r="C45" s="5"/>
      <c r="D45" s="11">
        <f>IF(C44/D44-1&gt;0,0,C44/D44-1)*-1</f>
        <v>0.2308792659</v>
      </c>
    </row>
    <row r="46" ht="15.75" customHeight="1">
      <c r="A46" s="5"/>
      <c r="B46" s="5" t="s">
        <v>25</v>
      </c>
      <c r="C46" s="5"/>
      <c r="D46" s="11">
        <f>IF(C44/D44-1&lt;0,0,C44/D44-1)</f>
        <v>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