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Hw2NNh1wHqgZBs7B5AE/ukEZHIq7BMrQO8yJhz2XCwA="/>
    </ext>
  </extLst>
</workbook>
</file>

<file path=xl/sharedStrings.xml><?xml version="1.0" encoding="utf-8"?>
<sst xmlns="http://schemas.openxmlformats.org/spreadsheetml/2006/main" count="118" uniqueCount="42">
  <si>
    <t>Discounted "Net-Profit" Modell</t>
  </si>
  <si>
    <t>Annahmen für Realty Income</t>
  </si>
  <si>
    <t>Alle Angaben in Mrd.</t>
  </si>
  <si>
    <t>Schätzungen »</t>
  </si>
  <si>
    <t>Umsatz</t>
  </si>
  <si>
    <t>Umsatzwachstum</t>
  </si>
  <si>
    <t>-</t>
  </si>
  <si>
    <t>FFO Marge</t>
  </si>
  <si>
    <t>Funds from Operations</t>
  </si>
  <si>
    <t>Gewinn (abzgl. Steuern, Zinsen)</t>
  </si>
  <si>
    <t>Anzahl an Aktien (abzgl. Aktienrückkäufe)</t>
  </si>
  <si>
    <t>FFO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</si>
  <si>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</si>
  <si>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</si>
  <si>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</si>
  <si>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</si>
  <si>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</si>
  <si>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</si>
  <si>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</si>
  <si>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</si>
  <si>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</si>
  <si>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</si>
  <si>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</si>
  <si>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</si>
  <si>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</si>
  <si>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</si>
  <si>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</si>
  <si>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</si>
  <si>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</si>
  <si>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</si>
  <si>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 xml:space="preserve"> 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</si>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</sst>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2018.0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v>1.327838</v>
      </c>
      <c r="D10" s="7">
        <v>1.491591</v>
      </c>
      <c r="E10" s="7">
        <v>1.647087</v>
      </c>
      <c r="F10" s="7">
        <v>2.080463</v>
      </c>
      <c r="G10" s="7">
        <v>3.343681</v>
      </c>
      <c r="H10" s="8">
        <v>3.9669</v>
      </c>
      <c r="I10" s="8">
        <v>4.71508</v>
      </c>
      <c r="J10" s="8">
        <v>4.84458</v>
      </c>
      <c r="K10" s="8">
        <f t="shared" ref="K10:R10" si="2">J10*(1+K11)</f>
        <v>5.2079235</v>
      </c>
      <c r="L10" s="8">
        <f t="shared" si="2"/>
        <v>5.572478145</v>
      </c>
      <c r="M10" s="8">
        <f t="shared" si="2"/>
        <v>5.934689224</v>
      </c>
      <c r="N10" s="8">
        <f t="shared" si="2"/>
        <v>6.290770578</v>
      </c>
      <c r="O10" s="8">
        <f t="shared" si="2"/>
        <v>6.63676296</v>
      </c>
      <c r="P10" s="8">
        <f t="shared" si="2"/>
        <v>6.902233478</v>
      </c>
      <c r="Q10" s="8">
        <f t="shared" si="2"/>
        <v>7.178322817</v>
      </c>
      <c r="R10" s="8">
        <f t="shared" si="2"/>
        <v>7.285997659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0.1233230259</v>
      </c>
      <c r="E11" s="10">
        <f t="shared" si="3"/>
        <v>0.1042484166</v>
      </c>
      <c r="F11" s="10">
        <f t="shared" si="3"/>
        <v>0.2631166417</v>
      </c>
      <c r="G11" s="10">
        <f t="shared" si="3"/>
        <v>0.60718119</v>
      </c>
      <c r="H11" s="11">
        <f t="shared" si="3"/>
        <v>0.1863870985</v>
      </c>
      <c r="I11" s="11">
        <f t="shared" si="3"/>
        <v>0.1886057123</v>
      </c>
      <c r="J11" s="11">
        <f t="shared" si="3"/>
        <v>0.02746506952</v>
      </c>
      <c r="K11" s="11">
        <v>0.075</v>
      </c>
      <c r="L11" s="11">
        <v>0.07</v>
      </c>
      <c r="M11" s="11">
        <v>0.065</v>
      </c>
      <c r="N11" s="11">
        <v>0.06</v>
      </c>
      <c r="O11" s="11">
        <v>0.055</v>
      </c>
      <c r="P11" s="11">
        <v>0.04</v>
      </c>
      <c r="Q11" s="11">
        <v>0.04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0.6802787689</v>
      </c>
      <c r="D12" s="10">
        <f t="shared" si="4"/>
        <v>0.6969739024</v>
      </c>
      <c r="E12" s="10">
        <f t="shared" si="4"/>
        <v>0.6934059949</v>
      </c>
      <c r="F12" s="10">
        <f t="shared" si="4"/>
        <v>0.5963095715</v>
      </c>
      <c r="G12" s="10">
        <f t="shared" si="4"/>
        <v>0.7392750684</v>
      </c>
      <c r="H12" s="11">
        <f t="shared" si="4"/>
        <v>0.7352</v>
      </c>
      <c r="I12" s="11">
        <f t="shared" si="4"/>
        <v>0.6406</v>
      </c>
      <c r="J12" s="11">
        <f t="shared" si="4"/>
        <v>0.6442</v>
      </c>
      <c r="K12" s="11">
        <v>0.645</v>
      </c>
      <c r="L12" s="11">
        <v>0.6475</v>
      </c>
      <c r="M12" s="11">
        <v>0.65</v>
      </c>
      <c r="N12" s="11">
        <v>0.6</v>
      </c>
      <c r="O12" s="11">
        <v>0.62</v>
      </c>
      <c r="P12" s="11">
        <v>0.65</v>
      </c>
      <c r="Q12" s="11">
        <v>0.68</v>
      </c>
      <c r="R12" s="11">
        <v>0.65</v>
      </c>
    </row>
    <row r="13" ht="15.75" customHeight="1">
      <c r="B13" s="2" t="s">
        <v>8</v>
      </c>
      <c r="C13" s="7">
        <v>0.9033</v>
      </c>
      <c r="D13" s="7">
        <v>1.0396</v>
      </c>
      <c r="E13" s="7">
        <v>1.1421</v>
      </c>
      <c r="F13" s="7">
        <v>1.2406</v>
      </c>
      <c r="G13" s="7">
        <v>2.4719</v>
      </c>
      <c r="H13" s="8">
        <v>2.91646488</v>
      </c>
      <c r="I13" s="8">
        <v>3.020480248</v>
      </c>
      <c r="J13" s="8">
        <v>3.120878436</v>
      </c>
      <c r="K13" s="8">
        <f t="shared" ref="K13:R13" si="5">K10*K12</f>
        <v>3.359110658</v>
      </c>
      <c r="L13" s="8">
        <f t="shared" si="5"/>
        <v>3.608179599</v>
      </c>
      <c r="M13" s="8">
        <f t="shared" si="5"/>
        <v>3.857547996</v>
      </c>
      <c r="N13" s="8">
        <f t="shared" si="5"/>
        <v>3.774462347</v>
      </c>
      <c r="O13" s="8">
        <f t="shared" si="5"/>
        <v>4.114793035</v>
      </c>
      <c r="P13" s="8">
        <f t="shared" si="5"/>
        <v>4.486451761</v>
      </c>
      <c r="Q13" s="8">
        <f t="shared" si="5"/>
        <v>4.881259516</v>
      </c>
      <c r="R13" s="8">
        <f t="shared" si="5"/>
        <v>4.735898479</v>
      </c>
    </row>
    <row r="14" ht="15.75" hidden="1" customHeight="1">
      <c r="A14" s="11">
        <v>0.25</v>
      </c>
      <c r="B14" s="2" t="s">
        <v>9</v>
      </c>
      <c r="C14" s="7"/>
      <c r="D14" s="7"/>
      <c r="E14" s="7"/>
      <c r="F14" s="7"/>
      <c r="G14" s="7"/>
      <c r="H14" s="8"/>
      <c r="I14" s="8"/>
      <c r="J14" s="8"/>
      <c r="K14" s="8">
        <f t="shared" ref="K14:R14" si="6">K13*(1-$A$14)</f>
        <v>2.519332993</v>
      </c>
      <c r="L14" s="8">
        <f t="shared" si="6"/>
        <v>2.706134699</v>
      </c>
      <c r="M14" s="8">
        <f t="shared" si="6"/>
        <v>2.893160997</v>
      </c>
      <c r="N14" s="8">
        <f t="shared" si="6"/>
        <v>2.83084676</v>
      </c>
      <c r="O14" s="8">
        <f t="shared" si="6"/>
        <v>3.086094776</v>
      </c>
      <c r="P14" s="8">
        <f t="shared" si="6"/>
        <v>3.364838821</v>
      </c>
      <c r="Q14" s="8">
        <f t="shared" si="6"/>
        <v>3.660944637</v>
      </c>
      <c r="R14" s="8">
        <f t="shared" si="6"/>
        <v>3.551923859</v>
      </c>
    </row>
    <row r="15" ht="15.75" customHeight="1">
      <c r="A15" s="11">
        <v>1.01</v>
      </c>
      <c r="B15" s="2" t="s">
        <v>10</v>
      </c>
      <c r="H15" s="8">
        <f>C33</f>
        <v>0.723923644</v>
      </c>
      <c r="I15" s="8">
        <f t="shared" ref="I15:Q15" si="7">H15*$A$15</f>
        <v>0.7311628804</v>
      </c>
      <c r="J15" s="8">
        <f t="shared" si="7"/>
        <v>0.7384745092</v>
      </c>
      <c r="K15" s="8">
        <f t="shared" si="7"/>
        <v>0.7458592543</v>
      </c>
      <c r="L15" s="8">
        <f t="shared" si="7"/>
        <v>0.7533178469</v>
      </c>
      <c r="M15" s="8">
        <f t="shared" si="7"/>
        <v>0.7608510253</v>
      </c>
      <c r="N15" s="8">
        <f t="shared" si="7"/>
        <v>0.7684595356</v>
      </c>
      <c r="O15" s="8">
        <f t="shared" si="7"/>
        <v>0.776144131</v>
      </c>
      <c r="P15" s="8">
        <f t="shared" si="7"/>
        <v>0.7839055723</v>
      </c>
      <c r="Q15" s="8">
        <f t="shared" si="7"/>
        <v>0.791744628</v>
      </c>
      <c r="R15" s="6" t="s">
        <v>6</v>
      </c>
    </row>
    <row r="16" ht="15.75" customHeight="1">
      <c r="B16" s="2" t="s">
        <v>11</v>
      </c>
      <c r="H16" s="8">
        <f t="shared" ref="H16:Q16" si="8">H13/H15</f>
        <v>4.028691291</v>
      </c>
      <c r="I16" s="8">
        <f t="shared" si="8"/>
        <v>4.131063445</v>
      </c>
      <c r="J16" s="8">
        <f t="shared" si="8"/>
        <v>4.226115319</v>
      </c>
      <c r="K16" s="8">
        <f t="shared" si="8"/>
        <v>4.503678996</v>
      </c>
      <c r="L16" s="8">
        <f t="shared" si="8"/>
        <v>4.7897174</v>
      </c>
      <c r="M16" s="8">
        <f t="shared" si="8"/>
        <v>5.070043763</v>
      </c>
      <c r="N16" s="8">
        <f t="shared" si="8"/>
        <v>4.911725565</v>
      </c>
      <c r="O16" s="8">
        <f t="shared" si="8"/>
        <v>5.30158365</v>
      </c>
      <c r="P16" s="8">
        <f t="shared" si="8"/>
        <v>5.723204324</v>
      </c>
      <c r="Q16" s="8">
        <f t="shared" si="8"/>
        <v>6.165194361</v>
      </c>
      <c r="R16" s="6" t="s">
        <v>6</v>
      </c>
    </row>
    <row r="17" ht="15.75" customHeight="1">
      <c r="F17" s="12" t="s">
        <v>12</v>
      </c>
      <c r="G17" s="13"/>
      <c r="H17" s="14">
        <f t="shared" ref="H17:Q17" si="9">H13/(1+$B$29)</f>
        <v>2.710808574</v>
      </c>
      <c r="I17" s="14">
        <f t="shared" si="9"/>
        <v>2.807489235</v>
      </c>
      <c r="J17" s="14">
        <f t="shared" si="9"/>
        <v>2.900807783</v>
      </c>
      <c r="K17" s="14">
        <f t="shared" si="9"/>
        <v>3.122240914</v>
      </c>
      <c r="L17" s="14">
        <f t="shared" si="9"/>
        <v>3.353746606</v>
      </c>
      <c r="M17" s="14">
        <f t="shared" si="9"/>
        <v>3.585530638</v>
      </c>
      <c r="N17" s="14">
        <f t="shared" si="9"/>
        <v>3.508303825</v>
      </c>
      <c r="O17" s="14">
        <f t="shared" si="9"/>
        <v>3.824635886</v>
      </c>
      <c r="P17" s="14">
        <f t="shared" si="9"/>
        <v>4.170086869</v>
      </c>
      <c r="Q17" s="14">
        <f t="shared" si="9"/>
        <v>4.537054514</v>
      </c>
      <c r="R17" s="15">
        <f>(R13/(B29-R11))/(1+B29)^10</f>
        <v>37.45015445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0.03913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0.0367353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1.19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0.0758653</v>
      </c>
    </row>
    <row r="30" ht="15.75" customHeight="1"/>
    <row r="31" ht="15.75" customHeight="1">
      <c r="A31" s="3"/>
      <c r="B31" s="3"/>
      <c r="C31" s="24">
        <v>45275.0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41.47358556</v>
      </c>
      <c r="D32" s="8">
        <f>SUM(H17:R17)</f>
        <v>71.9708593</v>
      </c>
    </row>
    <row r="33" ht="15.75" customHeight="1">
      <c r="A33" s="5"/>
      <c r="B33" s="5" t="s">
        <v>22</v>
      </c>
      <c r="C33" s="8">
        <f>0.723923644</f>
        <v>0.723923644</v>
      </c>
      <c r="D33" s="8">
        <f>C33</f>
        <v>0.723923644</v>
      </c>
    </row>
    <row r="34" ht="15.75" customHeight="1">
      <c r="A34" s="5"/>
      <c r="B34" s="5" t="s">
        <v>23</v>
      </c>
      <c r="C34" s="26">
        <v>57.29</v>
      </c>
      <c r="D34" s="8">
        <f>D32/D33</f>
        <v>99.41774922</v>
      </c>
    </row>
    <row r="35" ht="15.75" customHeight="1">
      <c r="A35" s="5"/>
      <c r="B35" s="5" t="s">
        <v>24</v>
      </c>
      <c r="C35" s="5"/>
      <c r="D35" s="11">
        <f>IF(C34/D34-1&gt;0,0,C34/D34-1)*-1</f>
        <v>0.4237447493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"KFFOV in "&amp;Q9&amp;":"</f>
        <v>KFFOV in 2032:</v>
      </c>
      <c r="D40" s="21">
        <v>15.0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92.47791541</v>
      </c>
    </row>
    <row r="43" ht="15.75" customHeight="1">
      <c r="A43" s="30"/>
      <c r="D43" s="18"/>
    </row>
    <row r="44" ht="15.75" customHeight="1">
      <c r="A44" s="30" t="s">
        <v>27</v>
      </c>
      <c r="D44" s="20">
        <v>0.85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41.5233654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127.772776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1.230280607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0.08351755182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Realty Income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1.327838</v>
      </c>
      <c r="D10" s="7">
        <f>Optimistisch!D10</f>
        <v>1.491591</v>
      </c>
      <c r="E10" s="7">
        <f>Optimistisch!E10</f>
        <v>1.647087</v>
      </c>
      <c r="F10" s="7">
        <f>Optimistisch!F10</f>
        <v>2.080463</v>
      </c>
      <c r="G10" s="7">
        <f>Optimistisch!G10</f>
        <v>3.343681</v>
      </c>
      <c r="H10" s="8">
        <f>Optimistisch!H10</f>
        <v>3.9669</v>
      </c>
      <c r="I10" s="8">
        <f>Optimistisch!I10</f>
        <v>4.71508</v>
      </c>
      <c r="J10" s="8">
        <f>Optimistisch!J10</f>
        <v>4.84458</v>
      </c>
      <c r="K10" s="8">
        <f t="shared" ref="K10:R10" si="2">J10*(1+K11)</f>
        <v>5.1352548</v>
      </c>
      <c r="L10" s="8">
        <f t="shared" si="2"/>
        <v>5.417693814</v>
      </c>
      <c r="M10" s="8">
        <f t="shared" si="2"/>
        <v>5.688578505</v>
      </c>
      <c r="N10" s="8">
        <f t="shared" si="2"/>
        <v>5.944564537</v>
      </c>
      <c r="O10" s="8">
        <f t="shared" si="2"/>
        <v>6.212069942</v>
      </c>
      <c r="P10" s="8">
        <f t="shared" si="2"/>
        <v>6.460552739</v>
      </c>
      <c r="Q10" s="8">
        <f t="shared" si="2"/>
        <v>6.654369321</v>
      </c>
      <c r="R10" s="8">
        <f t="shared" si="2"/>
        <v>6.720913015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0.1233230259</v>
      </c>
      <c r="E11" s="10">
        <f t="shared" si="3"/>
        <v>0.1042484166</v>
      </c>
      <c r="F11" s="10">
        <f t="shared" si="3"/>
        <v>0.2631166417</v>
      </c>
      <c r="G11" s="10">
        <f t="shared" si="3"/>
        <v>0.60718119</v>
      </c>
      <c r="H11" s="11">
        <f t="shared" si="3"/>
        <v>0.1863870985</v>
      </c>
      <c r="I11" s="11">
        <f t="shared" si="3"/>
        <v>0.1886057123</v>
      </c>
      <c r="J11" s="11">
        <f t="shared" si="3"/>
        <v>0.02746506952</v>
      </c>
      <c r="K11" s="11">
        <v>0.06</v>
      </c>
      <c r="L11" s="11">
        <v>0.055</v>
      </c>
      <c r="M11" s="11">
        <v>0.05</v>
      </c>
      <c r="N11" s="11">
        <v>0.045</v>
      </c>
      <c r="O11" s="11">
        <v>0.045</v>
      </c>
      <c r="P11" s="11">
        <v>0.04</v>
      </c>
      <c r="Q11" s="11">
        <v>0.03</v>
      </c>
      <c r="R11" s="11">
        <v>0.01</v>
      </c>
    </row>
    <row r="12" ht="15.75" customHeight="1">
      <c r="B12" s="2" t="s">
        <v>7</v>
      </c>
      <c r="C12" s="10">
        <f t="shared" ref="C12:J12" si="4">C13/C10</f>
        <v>0.6802787689</v>
      </c>
      <c r="D12" s="10">
        <f t="shared" si="4"/>
        <v>0.6969739024</v>
      </c>
      <c r="E12" s="10">
        <f t="shared" si="4"/>
        <v>0.6934059949</v>
      </c>
      <c r="F12" s="10">
        <f t="shared" si="4"/>
        <v>0.5963095715</v>
      </c>
      <c r="G12" s="10">
        <f t="shared" si="4"/>
        <v>0.7392750684</v>
      </c>
      <c r="H12" s="11">
        <f t="shared" si="4"/>
        <v>0.7352</v>
      </c>
      <c r="I12" s="11">
        <f t="shared" si="4"/>
        <v>0.6406</v>
      </c>
      <c r="J12" s="11">
        <f t="shared" si="4"/>
        <v>0.6442</v>
      </c>
      <c r="K12" s="11">
        <v>0.55</v>
      </c>
      <c r="L12" s="11">
        <v>0.58</v>
      </c>
      <c r="M12" s="11">
        <v>0.61</v>
      </c>
      <c r="N12" s="11">
        <v>0.63</v>
      </c>
      <c r="O12" s="11">
        <v>0.63</v>
      </c>
      <c r="P12" s="11">
        <v>0.65</v>
      </c>
      <c r="Q12" s="11">
        <v>0.65</v>
      </c>
      <c r="R12" s="11">
        <v>0.6</v>
      </c>
    </row>
    <row r="13" ht="15.75" customHeight="1">
      <c r="B13" s="2" t="s">
        <v>8</v>
      </c>
      <c r="C13" s="7">
        <f>Optimistisch!C13</f>
        <v>0.9033</v>
      </c>
      <c r="D13" s="7">
        <f>Optimistisch!D13</f>
        <v>1.0396</v>
      </c>
      <c r="E13" s="7">
        <f>Optimistisch!E13</f>
        <v>1.1421</v>
      </c>
      <c r="F13" s="7">
        <f>Optimistisch!F13</f>
        <v>1.2406</v>
      </c>
      <c r="G13" s="7">
        <f>Optimistisch!G13</f>
        <v>2.4719</v>
      </c>
      <c r="H13" s="8">
        <f>Optimistisch!H13</f>
        <v>2.91646488</v>
      </c>
      <c r="I13" s="8">
        <f>Optimistisch!I13</f>
        <v>3.020480248</v>
      </c>
      <c r="J13" s="8">
        <f>Optimistisch!J13</f>
        <v>3.120878436</v>
      </c>
      <c r="K13" s="8">
        <f t="shared" ref="K13:R13" si="5">K10*K12</f>
        <v>2.82439014</v>
      </c>
      <c r="L13" s="8">
        <f t="shared" si="5"/>
        <v>3.142262412</v>
      </c>
      <c r="M13" s="8">
        <f t="shared" si="5"/>
        <v>3.470032888</v>
      </c>
      <c r="N13" s="8">
        <f t="shared" si="5"/>
        <v>3.745075659</v>
      </c>
      <c r="O13" s="8">
        <f t="shared" si="5"/>
        <v>3.913604063</v>
      </c>
      <c r="P13" s="8">
        <f t="shared" si="5"/>
        <v>4.199359281</v>
      </c>
      <c r="Q13" s="8">
        <f t="shared" si="5"/>
        <v>4.325340059</v>
      </c>
      <c r="R13" s="8">
        <f t="shared" si="5"/>
        <v>4.032547809</v>
      </c>
    </row>
    <row r="14" ht="15.75" hidden="1" customHeight="1">
      <c r="A14" s="11">
        <v>0.25</v>
      </c>
      <c r="B14" s="2" t="s">
        <v>9</v>
      </c>
      <c r="C14" s="7" t="str">
        <f>Optimistisch!C14</f>
        <v/>
      </c>
      <c r="D14" s="7" t="str">
        <f>Optimistisch!D14</f>
        <v/>
      </c>
      <c r="E14" s="7" t="str">
        <f>Optimistisch!E14</f>
        <v/>
      </c>
      <c r="F14" s="7" t="str">
        <f>Optimistisch!F14</f>
        <v/>
      </c>
      <c r="G14" s="7" t="str">
        <f>Optimistisch!G14</f>
        <v/>
      </c>
      <c r="H14" s="8" t="str">
        <f>Optimistisch!H14</f>
        <v/>
      </c>
      <c r="I14" s="8" t="str">
        <f>Optimistisch!I14</f>
        <v/>
      </c>
      <c r="J14" s="8" t="str">
        <f>Optimistisch!J14</f>
        <v/>
      </c>
      <c r="K14" s="8">
        <f t="shared" ref="K14:R14" si="6">K13*(1-$A$14)</f>
        <v>2.118292605</v>
      </c>
      <c r="L14" s="8">
        <f t="shared" si="6"/>
        <v>2.356696809</v>
      </c>
      <c r="M14" s="8">
        <f t="shared" si="6"/>
        <v>2.602524666</v>
      </c>
      <c r="N14" s="8">
        <f t="shared" si="6"/>
        <v>2.808806744</v>
      </c>
      <c r="O14" s="8">
        <f t="shared" si="6"/>
        <v>2.935203047</v>
      </c>
      <c r="P14" s="8">
        <f t="shared" si="6"/>
        <v>3.14951946</v>
      </c>
      <c r="Q14" s="8">
        <f t="shared" si="6"/>
        <v>3.244005044</v>
      </c>
      <c r="R14" s="8">
        <f t="shared" si="6"/>
        <v>3.024410857</v>
      </c>
    </row>
    <row r="15" ht="15.75" customHeight="1">
      <c r="A15" s="11">
        <v>1.025</v>
      </c>
      <c r="B15" s="2" t="s">
        <v>10</v>
      </c>
      <c r="H15" s="8">
        <f>C33</f>
        <v>0.723923644</v>
      </c>
      <c r="I15" s="8">
        <f t="shared" ref="I15:Q15" si="7">H15*$A$15</f>
        <v>0.7420217351</v>
      </c>
      <c r="J15" s="8">
        <f t="shared" si="7"/>
        <v>0.7605722785</v>
      </c>
      <c r="K15" s="8">
        <f t="shared" si="7"/>
        <v>0.7795865854</v>
      </c>
      <c r="L15" s="8">
        <f t="shared" si="7"/>
        <v>0.7990762501</v>
      </c>
      <c r="M15" s="8">
        <f t="shared" si="7"/>
        <v>0.8190531563</v>
      </c>
      <c r="N15" s="8">
        <f t="shared" si="7"/>
        <v>0.8395294852</v>
      </c>
      <c r="O15" s="8">
        <f t="shared" si="7"/>
        <v>0.8605177224</v>
      </c>
      <c r="P15" s="8">
        <f t="shared" si="7"/>
        <v>0.8820306654</v>
      </c>
      <c r="Q15" s="8">
        <f t="shared" si="7"/>
        <v>0.9040814321</v>
      </c>
      <c r="R15" s="6" t="s">
        <v>30</v>
      </c>
    </row>
    <row r="16" ht="15.75" customHeight="1">
      <c r="B16" s="2" t="s">
        <v>11</v>
      </c>
      <c r="H16" s="8">
        <f t="shared" ref="H16:Q16" si="8">H13/H15</f>
        <v>4.028691291</v>
      </c>
      <c r="I16" s="8">
        <f t="shared" si="8"/>
        <v>4.070608858</v>
      </c>
      <c r="J16" s="8">
        <f t="shared" si="8"/>
        <v>4.103329196</v>
      </c>
      <c r="K16" s="8">
        <f t="shared" si="8"/>
        <v>3.622933222</v>
      </c>
      <c r="L16" s="8">
        <f t="shared" si="8"/>
        <v>3.932368672</v>
      </c>
      <c r="M16" s="8">
        <f t="shared" si="8"/>
        <v>4.236639418</v>
      </c>
      <c r="N16" s="8">
        <f t="shared" si="8"/>
        <v>4.460922129</v>
      </c>
      <c r="O16" s="8">
        <f t="shared" si="8"/>
        <v>4.547964512</v>
      </c>
      <c r="P16" s="8">
        <f t="shared" si="8"/>
        <v>4.761012791</v>
      </c>
      <c r="Q16" s="8">
        <f t="shared" si="8"/>
        <v>4.784237244</v>
      </c>
      <c r="R16" s="6" t="s">
        <v>6</v>
      </c>
    </row>
    <row r="17" ht="15.75" customHeight="1">
      <c r="F17" s="12" t="s">
        <v>12</v>
      </c>
      <c r="G17" s="13"/>
      <c r="H17" s="14">
        <f t="shared" ref="H17:Q17" si="9">H13/(1+$B$29)</f>
        <v>2.710808574</v>
      </c>
      <c r="I17" s="14">
        <f t="shared" si="9"/>
        <v>2.807489235</v>
      </c>
      <c r="J17" s="14">
        <f t="shared" si="9"/>
        <v>2.900807783</v>
      </c>
      <c r="K17" s="14">
        <f t="shared" si="9"/>
        <v>2.625226541</v>
      </c>
      <c r="L17" s="14">
        <f t="shared" si="9"/>
        <v>2.920683855</v>
      </c>
      <c r="M17" s="14">
        <f t="shared" si="9"/>
        <v>3.225341395</v>
      </c>
      <c r="N17" s="14">
        <f t="shared" si="9"/>
        <v>3.480989357</v>
      </c>
      <c r="O17" s="14">
        <f t="shared" si="9"/>
        <v>3.637633878</v>
      </c>
      <c r="P17" s="14">
        <f t="shared" si="9"/>
        <v>3.903238891</v>
      </c>
      <c r="Q17" s="14">
        <f t="shared" si="9"/>
        <v>4.020336058</v>
      </c>
      <c r="R17" s="15">
        <f>(R13/(B29-R11))/(1+B29)^10</f>
        <v>29.46753763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0.03913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0.0367353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1.19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0.0758653</v>
      </c>
    </row>
    <row r="30" ht="15.75" customHeight="1"/>
    <row r="31" ht="15.75" customHeight="1">
      <c r="A31" s="3"/>
      <c r="B31" s="3"/>
      <c r="C31" s="24">
        <f>Optimistisch!C31</f>
        <v>45275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41.47358556</v>
      </c>
      <c r="D32" s="8">
        <f>SUM(H17:R17)</f>
        <v>61.7000932</v>
      </c>
    </row>
    <row r="33" ht="15.75" customHeight="1">
      <c r="A33" s="5"/>
      <c r="B33" s="5" t="s">
        <v>22</v>
      </c>
      <c r="C33" s="8">
        <f>Optimistisch!C33</f>
        <v>0.723923644</v>
      </c>
      <c r="D33" s="8">
        <f>C33</f>
        <v>0.723923644</v>
      </c>
    </row>
    <row r="34" ht="15.75" customHeight="1">
      <c r="A34" s="5"/>
      <c r="B34" s="5" t="s">
        <v>23</v>
      </c>
      <c r="C34" s="8">
        <f>Optimistisch!C34</f>
        <v>57.29</v>
      </c>
      <c r="D34" s="8">
        <f>D32/D33</f>
        <v>85.23011191</v>
      </c>
    </row>
    <row r="35" ht="15.75" customHeight="1">
      <c r="A35" s="5"/>
      <c r="B35" s="5" t="s">
        <v>24</v>
      </c>
      <c r="C35" s="5"/>
      <c r="D35" s="11">
        <f>IF(C34/D34-1&gt;0,0,C34/D34-1)*-1</f>
        <v>0.3278197258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"KFFOV in "&amp;Q9&amp;":"</f>
        <v>KFFOV in 2032:</v>
      </c>
      <c r="D40" s="21">
        <v>11.0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52.62660968</v>
      </c>
    </row>
    <row r="43" ht="15.75" customHeight="1">
      <c r="A43" s="30"/>
      <c r="D43" s="18"/>
    </row>
    <row r="44" ht="15.75" customHeight="1">
      <c r="A44" s="30" t="s">
        <v>27</v>
      </c>
      <c r="D44" s="20">
        <v>0.7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29.78409513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77.94309055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0.3605007951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0.03126405366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Realty Income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1.327838</v>
      </c>
      <c r="D10" s="7">
        <f>Optimistisch!D10</f>
        <v>1.491591</v>
      </c>
      <c r="E10" s="7">
        <f>Optimistisch!E10</f>
        <v>1.647087</v>
      </c>
      <c r="F10" s="7">
        <f>Optimistisch!F10</f>
        <v>2.080463</v>
      </c>
      <c r="G10" s="7">
        <f>Optimistisch!G10</f>
        <v>3.343681</v>
      </c>
      <c r="H10" s="8">
        <f t="shared" ref="H10:R10" si="2">G10*(1+H11)</f>
        <v>3.360399405</v>
      </c>
      <c r="I10" s="8">
        <f t="shared" si="2"/>
        <v>3.377201402</v>
      </c>
      <c r="J10" s="8">
        <f t="shared" si="2"/>
        <v>3.394087409</v>
      </c>
      <c r="K10" s="8">
        <f t="shared" si="2"/>
        <v>3.411057846</v>
      </c>
      <c r="L10" s="8">
        <f t="shared" si="2"/>
        <v>3.428113135</v>
      </c>
      <c r="M10" s="8">
        <f t="shared" si="2"/>
        <v>3.445253701</v>
      </c>
      <c r="N10" s="8">
        <f t="shared" si="2"/>
        <v>3.462479969</v>
      </c>
      <c r="O10" s="8">
        <f t="shared" si="2"/>
        <v>3.479792369</v>
      </c>
      <c r="P10" s="8">
        <f t="shared" si="2"/>
        <v>3.497191331</v>
      </c>
      <c r="Q10" s="8">
        <f t="shared" si="2"/>
        <v>3.514677288</v>
      </c>
      <c r="R10" s="8">
        <f t="shared" si="2"/>
        <v>3.567397447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0.1233230259</v>
      </c>
      <c r="E11" s="10">
        <f t="shared" si="3"/>
        <v>0.1042484166</v>
      </c>
      <c r="F11" s="10">
        <f t="shared" si="3"/>
        <v>0.2631166417</v>
      </c>
      <c r="G11" s="10">
        <f t="shared" si="3"/>
        <v>0.60718119</v>
      </c>
      <c r="H11" s="11">
        <v>0.005</v>
      </c>
      <c r="I11" s="11">
        <f t="shared" ref="I11:Q11" si="4">$H$11</f>
        <v>0.005</v>
      </c>
      <c r="J11" s="11">
        <f t="shared" si="4"/>
        <v>0.005</v>
      </c>
      <c r="K11" s="11">
        <f t="shared" si="4"/>
        <v>0.005</v>
      </c>
      <c r="L11" s="11">
        <f t="shared" si="4"/>
        <v>0.005</v>
      </c>
      <c r="M11" s="11">
        <f t="shared" si="4"/>
        <v>0.005</v>
      </c>
      <c r="N11" s="11">
        <f t="shared" si="4"/>
        <v>0.005</v>
      </c>
      <c r="O11" s="11">
        <f t="shared" si="4"/>
        <v>0.005</v>
      </c>
      <c r="P11" s="11">
        <f t="shared" si="4"/>
        <v>0.005</v>
      </c>
      <c r="Q11" s="11">
        <f t="shared" si="4"/>
        <v>0.005</v>
      </c>
      <c r="R11" s="11">
        <f>Optimistisch!R11</f>
        <v>0.015</v>
      </c>
    </row>
    <row r="12" ht="15.75" customHeight="1">
      <c r="B12" s="2" t="s">
        <v>7</v>
      </c>
      <c r="C12" s="10">
        <f t="shared" ref="C12:G12" si="5">C13/C10</f>
        <v>0.6802787689</v>
      </c>
      <c r="D12" s="10">
        <f t="shared" si="5"/>
        <v>0.6969739024</v>
      </c>
      <c r="E12" s="10">
        <f t="shared" si="5"/>
        <v>0.6934059949</v>
      </c>
      <c r="F12" s="10">
        <f t="shared" si="5"/>
        <v>0.5963095715</v>
      </c>
      <c r="G12" s="10">
        <f t="shared" si="5"/>
        <v>0.7392750684</v>
      </c>
      <c r="H12" s="11">
        <f>Optimistisch!H12</f>
        <v>0.7352</v>
      </c>
      <c r="I12" s="11">
        <f>Optimistisch!I12</f>
        <v>0.6406</v>
      </c>
      <c r="J12" s="11">
        <f>Optimistisch!J12</f>
        <v>0.6442</v>
      </c>
      <c r="K12" s="11">
        <f>Optimistisch!K12</f>
        <v>0.645</v>
      </c>
      <c r="L12" s="11">
        <f>Optimistisch!L12</f>
        <v>0.6475</v>
      </c>
      <c r="M12" s="11">
        <f>Optimistisch!M12</f>
        <v>0.65</v>
      </c>
      <c r="N12" s="11">
        <f>Optimistisch!N12</f>
        <v>0.6</v>
      </c>
      <c r="O12" s="11">
        <f>Optimistisch!O12</f>
        <v>0.62</v>
      </c>
      <c r="P12" s="11">
        <f>Optimistisch!P12</f>
        <v>0.65</v>
      </c>
      <c r="Q12" s="11">
        <f>Optimistisch!Q12</f>
        <v>0.68</v>
      </c>
      <c r="R12" s="11">
        <f>Optimistisch!R12</f>
        <v>0.65</v>
      </c>
    </row>
    <row r="13" ht="15.75" customHeight="1">
      <c r="B13" s="2" t="s">
        <v>8</v>
      </c>
      <c r="C13" s="7">
        <f>Optimistisch!C13</f>
        <v>0.9033</v>
      </c>
      <c r="D13" s="7">
        <f>Optimistisch!D13</f>
        <v>1.0396</v>
      </c>
      <c r="E13" s="7">
        <f>Optimistisch!E13</f>
        <v>1.1421</v>
      </c>
      <c r="F13" s="7">
        <f>Optimistisch!F13</f>
        <v>1.2406</v>
      </c>
      <c r="G13" s="7">
        <f>Optimistisch!G13</f>
        <v>2.4719</v>
      </c>
      <c r="H13" s="8">
        <f t="shared" ref="H13:R13" si="6">H10*H12</f>
        <v>2.470565643</v>
      </c>
      <c r="I13" s="8">
        <f t="shared" si="6"/>
        <v>2.163435218</v>
      </c>
      <c r="J13" s="8">
        <f t="shared" si="6"/>
        <v>2.186471109</v>
      </c>
      <c r="K13" s="8">
        <f t="shared" si="6"/>
        <v>2.200132311</v>
      </c>
      <c r="L13" s="8">
        <f t="shared" si="6"/>
        <v>2.219703255</v>
      </c>
      <c r="M13" s="8">
        <f t="shared" si="6"/>
        <v>2.239414906</v>
      </c>
      <c r="N13" s="8">
        <f t="shared" si="6"/>
        <v>2.077487982</v>
      </c>
      <c r="O13" s="8">
        <f t="shared" si="6"/>
        <v>2.157471269</v>
      </c>
      <c r="P13" s="8">
        <f t="shared" si="6"/>
        <v>2.273174365</v>
      </c>
      <c r="Q13" s="8">
        <f t="shared" si="6"/>
        <v>2.389980556</v>
      </c>
      <c r="R13" s="8">
        <f t="shared" si="6"/>
        <v>2.318808341</v>
      </c>
    </row>
    <row r="14" ht="15.75" hidden="1" customHeight="1">
      <c r="A14" s="11">
        <f>Optimistisch!A14</f>
        <v>0.25</v>
      </c>
      <c r="B14" s="2" t="s">
        <v>9</v>
      </c>
      <c r="C14" s="7" t="str">
        <f>Optimistisch!C14</f>
        <v/>
      </c>
      <c r="D14" s="7" t="str">
        <f>Optimistisch!D14</f>
        <v/>
      </c>
      <c r="E14" s="7" t="str">
        <f>Optimistisch!E14</f>
        <v/>
      </c>
      <c r="F14" s="7" t="str">
        <f>Optimistisch!F14</f>
        <v/>
      </c>
      <c r="G14" s="7" t="str">
        <f>Optimistisch!G14</f>
        <v/>
      </c>
      <c r="H14" s="8">
        <f t="shared" ref="H14:R14" si="7">H13*(1-$A$14)</f>
        <v>1.852924232</v>
      </c>
      <c r="I14" s="8">
        <f t="shared" si="7"/>
        <v>1.622576414</v>
      </c>
      <c r="J14" s="8">
        <f t="shared" si="7"/>
        <v>1.639853332</v>
      </c>
      <c r="K14" s="8">
        <f t="shared" si="7"/>
        <v>1.650099233</v>
      </c>
      <c r="L14" s="8">
        <f t="shared" si="7"/>
        <v>1.664777441</v>
      </c>
      <c r="M14" s="8">
        <f t="shared" si="7"/>
        <v>1.679561179</v>
      </c>
      <c r="N14" s="8">
        <f t="shared" si="7"/>
        <v>1.558115986</v>
      </c>
      <c r="O14" s="8">
        <f t="shared" si="7"/>
        <v>1.618103452</v>
      </c>
      <c r="P14" s="8">
        <f t="shared" si="7"/>
        <v>1.704880774</v>
      </c>
      <c r="Q14" s="8">
        <f t="shared" si="7"/>
        <v>1.792485417</v>
      </c>
      <c r="R14" s="8">
        <f t="shared" si="7"/>
        <v>1.739106255</v>
      </c>
    </row>
    <row r="15" ht="15.75" customHeight="1">
      <c r="A15" s="11">
        <f>Optimistisch!A15</f>
        <v>1.01</v>
      </c>
      <c r="B15" s="2" t="s">
        <v>10</v>
      </c>
      <c r="H15" s="8">
        <f>C33</f>
        <v>0.723923644</v>
      </c>
      <c r="I15" s="8">
        <f t="shared" ref="I15:Q15" si="8">H15*$A$15</f>
        <v>0.7311628804</v>
      </c>
      <c r="J15" s="8">
        <f t="shared" si="8"/>
        <v>0.7384745092</v>
      </c>
      <c r="K15" s="8">
        <f t="shared" si="8"/>
        <v>0.7458592543</v>
      </c>
      <c r="L15" s="8">
        <f t="shared" si="8"/>
        <v>0.7533178469</v>
      </c>
      <c r="M15" s="8">
        <f t="shared" si="8"/>
        <v>0.7608510253</v>
      </c>
      <c r="N15" s="8">
        <f t="shared" si="8"/>
        <v>0.7684595356</v>
      </c>
      <c r="O15" s="8">
        <f t="shared" si="8"/>
        <v>0.776144131</v>
      </c>
      <c r="P15" s="8">
        <f t="shared" si="8"/>
        <v>0.7839055723</v>
      </c>
      <c r="Q15" s="8">
        <f t="shared" si="8"/>
        <v>0.791744628</v>
      </c>
      <c r="R15" s="6" t="s">
        <v>6</v>
      </c>
    </row>
    <row r="16" ht="15.75" customHeight="1">
      <c r="B16" s="2" t="s">
        <v>11</v>
      </c>
      <c r="H16" s="8">
        <f t="shared" ref="H16:Q16" si="9">H13/H15</f>
        <v>3.412743406</v>
      </c>
      <c r="I16" s="8">
        <f t="shared" si="9"/>
        <v>2.958896405</v>
      </c>
      <c r="J16" s="8">
        <f t="shared" si="9"/>
        <v>2.960794288</v>
      </c>
      <c r="K16" s="8">
        <f t="shared" si="9"/>
        <v>2.949795552</v>
      </c>
      <c r="L16" s="8">
        <f t="shared" si="9"/>
        <v>2.946569319</v>
      </c>
      <c r="M16" s="8">
        <f t="shared" si="9"/>
        <v>2.943302737</v>
      </c>
      <c r="N16" s="8">
        <f t="shared" si="9"/>
        <v>2.70344486</v>
      </c>
      <c r="O16" s="8">
        <f t="shared" si="9"/>
        <v>2.779730185</v>
      </c>
      <c r="P16" s="8">
        <f t="shared" si="9"/>
        <v>2.899806361</v>
      </c>
      <c r="Q16" s="8">
        <f t="shared" si="9"/>
        <v>3.018625541</v>
      </c>
      <c r="R16" s="6" t="s">
        <v>6</v>
      </c>
    </row>
    <row r="17" ht="15.75" customHeight="1">
      <c r="F17" s="12" t="s">
        <v>12</v>
      </c>
      <c r="G17" s="13"/>
      <c r="H17" s="14">
        <f t="shared" ref="H17:Q17" si="10">H13/(1+$B$29)</f>
        <v>2.296352194</v>
      </c>
      <c r="I17" s="14">
        <f t="shared" si="10"/>
        <v>2.01087926</v>
      </c>
      <c r="J17" s="14">
        <f t="shared" si="10"/>
        <v>2.032290761</v>
      </c>
      <c r="K17" s="14">
        <f t="shared" si="10"/>
        <v>2.044988634</v>
      </c>
      <c r="L17" s="14">
        <f t="shared" si="10"/>
        <v>2.063179522</v>
      </c>
      <c r="M17" s="14">
        <f t="shared" si="10"/>
        <v>2.081501193</v>
      </c>
      <c r="N17" s="14">
        <f t="shared" si="10"/>
        <v>1.930992645</v>
      </c>
      <c r="O17" s="14">
        <f t="shared" si="10"/>
        <v>2.005335862</v>
      </c>
      <c r="P17" s="14">
        <f t="shared" si="10"/>
        <v>2.112880084</v>
      </c>
      <c r="Q17" s="14">
        <f t="shared" si="10"/>
        <v>2.221449614</v>
      </c>
      <c r="R17" s="15">
        <f>(R13/(B29-R11))/(1+B29)^10</f>
        <v>18.33648481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0.03913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0.0367353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1.19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0.0758653</v>
      </c>
    </row>
    <row r="30" ht="15.75" customHeight="1"/>
    <row r="31" ht="15.75" customHeight="1">
      <c r="A31" s="3"/>
      <c r="B31" s="3"/>
      <c r="C31" s="24">
        <f>Optimistisch!C31</f>
        <v>45275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41.47358556</v>
      </c>
      <c r="D32" s="8">
        <f>SUM(H17:R17)</f>
        <v>39.13633458</v>
      </c>
    </row>
    <row r="33" ht="15.75" customHeight="1">
      <c r="A33" s="5"/>
      <c r="B33" s="5" t="s">
        <v>22</v>
      </c>
      <c r="C33" s="8">
        <f>Optimistisch!C33</f>
        <v>0.723923644</v>
      </c>
      <c r="D33" s="8">
        <f>C33</f>
        <v>0.723923644</v>
      </c>
    </row>
    <row r="34" ht="15.75" customHeight="1">
      <c r="A34" s="5"/>
      <c r="B34" s="5" t="s">
        <v>23</v>
      </c>
      <c r="C34" s="8">
        <f>Optimistisch!C34</f>
        <v>57.29</v>
      </c>
      <c r="D34" s="8">
        <f>D32/D33</f>
        <v>54.06141228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0.05972074322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"KFFOV in "&amp;Q9&amp;":"</f>
        <v>KFFOV in 2032:</v>
      </c>
      <c r="D40" s="21">
        <v>40.0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120.7450216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0.85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25.13765236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142.1120261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1.480572982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0.09510358553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31</v>
      </c>
    </row>
    <row r="3" ht="15.75" customHeight="1"/>
    <row r="4" ht="15.75" customHeight="1">
      <c r="B4" s="2" t="str">
        <f>Optimistisch!B4</f>
        <v>Annahmen für Realty Income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2018</v>
      </c>
      <c r="D9" s="2">
        <f t="shared" ref="D9:M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R9" s="9"/>
    </row>
    <row r="10" ht="15.75" customHeight="1">
      <c r="B10" s="2" t="s">
        <v>4</v>
      </c>
      <c r="C10" s="7">
        <f>Optimistisch!C10</f>
        <v>1.327838</v>
      </c>
      <c r="D10" s="7">
        <f>Optimistisch!D10</f>
        <v>1.491591</v>
      </c>
      <c r="E10" s="7">
        <f>Optimistisch!E10</f>
        <v>1.647087</v>
      </c>
      <c r="F10" s="7">
        <f>Optimistisch!F10</f>
        <v>2.080463</v>
      </c>
      <c r="G10" s="7">
        <f>Optimistisch!G10</f>
        <v>3.343681</v>
      </c>
      <c r="H10" s="8">
        <f>Optimistisch!H10</f>
        <v>3.9669</v>
      </c>
      <c r="I10" s="8">
        <f>Optimistisch!I10</f>
        <v>4.71508</v>
      </c>
      <c r="J10" s="8">
        <f>Optimistisch!J10</f>
        <v>4.84458</v>
      </c>
      <c r="K10" s="8">
        <f>(Optimistisch!K10+Pessimistisch!K10)/2</f>
        <v>5.17158915</v>
      </c>
      <c r="L10" s="8">
        <f>(Optimistisch!L10+Pessimistisch!L10)/2</f>
        <v>5.49508598</v>
      </c>
      <c r="M10" s="8">
        <f>(Optimistisch!M10+Pessimistisch!M10)/2</f>
        <v>5.811633865</v>
      </c>
      <c r="N10" s="7"/>
      <c r="O10" s="7"/>
      <c r="P10" s="7"/>
      <c r="Q10" s="7"/>
      <c r="R10" s="7"/>
    </row>
    <row r="11" ht="15.75" customHeight="1">
      <c r="B11" s="2" t="s">
        <v>32</v>
      </c>
      <c r="C11" s="10">
        <f t="shared" ref="C11:G11" si="2">C12/C10</f>
        <v>0.6893853015</v>
      </c>
      <c r="D11" s="10">
        <f t="shared" si="2"/>
        <v>0.7008630382</v>
      </c>
      <c r="E11" s="10">
        <f t="shared" si="2"/>
        <v>0.6719954684</v>
      </c>
      <c r="F11" s="10">
        <f t="shared" si="2"/>
        <v>0.6263552873</v>
      </c>
      <c r="G11" s="10">
        <f t="shared" si="2"/>
        <v>0.7382109717</v>
      </c>
      <c r="H11" s="11">
        <v>0.6323</v>
      </c>
      <c r="I11" s="11">
        <v>0.65</v>
      </c>
      <c r="J11" s="11">
        <v>0.615</v>
      </c>
      <c r="K11" s="11">
        <v>0.66</v>
      </c>
      <c r="L11" s="11">
        <v>0.69</v>
      </c>
      <c r="M11" s="11">
        <v>0.65</v>
      </c>
      <c r="N11" s="10"/>
      <c r="O11" s="10"/>
      <c r="P11" s="10"/>
      <c r="Q11" s="10"/>
      <c r="R11" s="10"/>
    </row>
    <row r="12" ht="15.75" customHeight="1">
      <c r="B12" s="2" t="s">
        <v>33</v>
      </c>
      <c r="C12" s="7">
        <f>0.940742-0.02535</f>
        <v>0.915392</v>
      </c>
      <c r="D12" s="7">
        <f>1.068937-0.023536</f>
        <v>1.045401</v>
      </c>
      <c r="E12" s="7">
        <f>1.115543-0.008708</f>
        <v>1.106835</v>
      </c>
      <c r="F12" s="7">
        <f>1.322189-0.01908</f>
        <v>1.303109</v>
      </c>
      <c r="G12" s="7">
        <f>2.563856-0.095514</f>
        <v>2.468342</v>
      </c>
      <c r="H12" s="8">
        <f t="shared" ref="H12:M12" si="3">H10*H11</f>
        <v>2.50827087</v>
      </c>
      <c r="I12" s="8">
        <f t="shared" si="3"/>
        <v>3.064802</v>
      </c>
      <c r="J12" s="8">
        <f t="shared" si="3"/>
        <v>2.9794167</v>
      </c>
      <c r="K12" s="8">
        <f t="shared" si="3"/>
        <v>3.413248839</v>
      </c>
      <c r="L12" s="8">
        <f t="shared" si="3"/>
        <v>3.791609326</v>
      </c>
      <c r="M12" s="8">
        <f t="shared" si="3"/>
        <v>3.777562012</v>
      </c>
      <c r="N12" s="7"/>
      <c r="O12" s="7"/>
      <c r="P12" s="7"/>
      <c r="Q12" s="7"/>
      <c r="R12" s="7"/>
    </row>
    <row r="13" ht="15.75" customHeight="1">
      <c r="F13" s="12" t="s">
        <v>34</v>
      </c>
      <c r="G13" s="13"/>
      <c r="H13" s="14">
        <f>H12/(1+$B$37)</f>
        <v>2.352965719</v>
      </c>
      <c r="I13" s="14">
        <f>I12/(1+$B$37)^2</f>
        <v>2.69702364</v>
      </c>
      <c r="J13" s="14">
        <f>J12/(1+$B$37)^3</f>
        <v>2.459544836</v>
      </c>
      <c r="K13" s="14">
        <f>K12/(1+$B$37)^4</f>
        <v>2.643215746</v>
      </c>
      <c r="L13" s="14">
        <f>L12/(1+$B$37)^5</f>
        <v>2.754415222</v>
      </c>
      <c r="M13" s="15">
        <f>(M12/(B37-B39))/(1+B37)^5</f>
        <v>53.80382936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0.03913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0.0367353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1.19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0.0758653</v>
      </c>
    </row>
    <row r="26" ht="15.75" customHeight="1"/>
    <row r="27" ht="15.75" customHeight="1">
      <c r="A27" s="28" t="s">
        <v>35</v>
      </c>
      <c r="B27" s="17"/>
    </row>
    <row r="28" ht="15.75" customHeight="1">
      <c r="A28" s="30"/>
      <c r="B28" s="18"/>
    </row>
    <row r="29" ht="15.75" customHeight="1">
      <c r="A29" s="30" t="s">
        <v>36</v>
      </c>
      <c r="B29" s="21">
        <f>C42</f>
        <v>41.47358556</v>
      </c>
    </row>
    <row r="30" ht="15.75" customHeight="1">
      <c r="A30" s="30"/>
      <c r="B30" s="18"/>
    </row>
    <row r="31" ht="15.75" customHeight="1">
      <c r="A31" s="30" t="s">
        <v>37</v>
      </c>
      <c r="B31" s="21">
        <f>20.044277</f>
        <v>20.044277</v>
      </c>
    </row>
    <row r="32" ht="15.75" customHeight="1">
      <c r="A32" s="30"/>
      <c r="B32" s="18"/>
    </row>
    <row r="33" ht="15.75" customHeight="1">
      <c r="A33" s="30" t="s">
        <v>38</v>
      </c>
      <c r="B33" s="20">
        <v>0.048</v>
      </c>
    </row>
    <row r="34" ht="15.75" customHeight="1">
      <c r="A34" s="30"/>
      <c r="B34" s="18"/>
    </row>
    <row r="35" ht="15.75" customHeight="1">
      <c r="A35" s="30" t="s">
        <v>39</v>
      </c>
      <c r="B35" s="20">
        <v>0.05</v>
      </c>
    </row>
    <row r="36" ht="15.75" customHeight="1">
      <c r="A36" s="30"/>
      <c r="B36" s="18"/>
    </row>
    <row r="37" ht="15.75" customHeight="1">
      <c r="A37" s="34" t="s">
        <v>40</v>
      </c>
      <c r="B37" s="23">
        <f>B25*(B29/(B29+B31))+B33*(B31/(B29+B31))*(1-B35)</f>
        <v>0.06600400067</v>
      </c>
    </row>
    <row r="38" ht="15.75" customHeight="1">
      <c r="B38" s="10"/>
    </row>
    <row r="39" ht="15.75" customHeight="1">
      <c r="A39" s="2" t="s">
        <v>41</v>
      </c>
      <c r="B39" s="10">
        <v>0.015</v>
      </c>
    </row>
    <row r="40" ht="15.75" customHeight="1"/>
    <row r="41" ht="15.75" customHeight="1">
      <c r="A41" s="3"/>
      <c r="B41" s="3"/>
      <c r="C41" s="24">
        <f>Optimistisch!C31</f>
        <v>45275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41.47358556</v>
      </c>
      <c r="D42" s="8">
        <f>SUM(H13:M13)-B31</f>
        <v>46.66671753</v>
      </c>
    </row>
    <row r="43" ht="15.75" customHeight="1">
      <c r="A43" s="5"/>
      <c r="B43" s="5" t="s">
        <v>22</v>
      </c>
      <c r="C43" s="8">
        <f>Optimistisch!C33</f>
        <v>0.723923644</v>
      </c>
      <c r="D43" s="8">
        <f>C43</f>
        <v>0.723923644</v>
      </c>
    </row>
    <row r="44" ht="15.75" customHeight="1">
      <c r="A44" s="5"/>
      <c r="B44" s="5" t="s">
        <v>23</v>
      </c>
      <c r="C44" s="8">
        <f>Optimistisch!C34</f>
        <v>57.29</v>
      </c>
      <c r="D44" s="8">
        <f>D42/D43</f>
        <v>64.46359076</v>
      </c>
    </row>
    <row r="45" ht="15.75" customHeight="1">
      <c r="A45" s="5"/>
      <c r="B45" s="5" t="s">
        <v>24</v>
      </c>
      <c r="C45" s="5"/>
      <c r="D45" s="11">
        <f>IF(C44/D44-1&gt;0,0,C44/D44-1)*-1</f>
        <v>0.1112812779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