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DCF" sheetId="3" r:id="rId6"/>
  </sheets>
  <definedNames/>
  <calcPr/>
  <extLst>
    <ext uri="GoogleSheetsCustomDataVersion2">
      <go:sheetsCustomData xmlns:go="http://customooxmlschemas.google.com/" r:id="rId7" roundtripDataChecksum="/K1lkubFiXr4GgbGRWgyuqsTRn1aEeXWlQsbllYp+Fg="/>
    </ext>
  </extLst>
</workbook>
</file>

<file path=xl/sharedStrings.xml><?xml version="1.0" encoding="utf-8"?>
<sst xmlns="http://schemas.openxmlformats.org/spreadsheetml/2006/main" count="88" uniqueCount="41">
  <si>
    <t>Discounted Net-Profit Modell</t>
  </si>
  <si>
    <t>Annahmen für Unicharm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</si>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</sst>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0" fillId="0" fontId="2" numFmtId="0" xfId="0" applyAlignment="1" applyFont="1">
      <alignment readingOrder="0"/>
    </xf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688.29</v>
      </c>
      <c r="D10" s="7">
        <v>714.233</v>
      </c>
      <c r="E10" s="7">
        <v>727.475</v>
      </c>
      <c r="F10" s="7">
        <v>782.723</v>
      </c>
      <c r="G10" s="7">
        <v>898.022</v>
      </c>
      <c r="H10" s="8">
        <v>938.18315</v>
      </c>
      <c r="I10" s="8">
        <v>1021.28113</v>
      </c>
      <c r="J10" s="8">
        <v>1086.934</v>
      </c>
      <c r="K10" s="8">
        <f t="shared" ref="K10:R10" si="2">J10*(1+K11)</f>
        <v>1152.15004</v>
      </c>
      <c r="L10" s="8">
        <f t="shared" si="2"/>
        <v>1215.518292</v>
      </c>
      <c r="M10" s="8">
        <f t="shared" si="2"/>
        <v>1282.371798</v>
      </c>
      <c r="N10" s="8">
        <f t="shared" si="2"/>
        <v>1346.490388</v>
      </c>
      <c r="O10" s="8">
        <f t="shared" si="2"/>
        <v>1413.814908</v>
      </c>
      <c r="P10" s="8">
        <f t="shared" si="2"/>
        <v>1480.971116</v>
      </c>
      <c r="Q10" s="8">
        <f t="shared" si="2"/>
        <v>1547.614816</v>
      </c>
      <c r="R10" s="8">
        <f t="shared" si="2"/>
        <v>1578.567112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0.03769196124</v>
      </c>
      <c r="E11" s="10">
        <f t="shared" si="3"/>
        <v>0.01854016826</v>
      </c>
      <c r="F11" s="10">
        <f t="shared" si="3"/>
        <v>0.07594487783</v>
      </c>
      <c r="G11" s="10">
        <f t="shared" si="3"/>
        <v>0.1473049853</v>
      </c>
      <c r="H11" s="11">
        <f t="shared" si="3"/>
        <v>0.04472178855</v>
      </c>
      <c r="I11" s="11">
        <f t="shared" si="3"/>
        <v>0.08857330256</v>
      </c>
      <c r="J11" s="11">
        <f t="shared" si="3"/>
        <v>0.06428481646</v>
      </c>
      <c r="K11" s="11">
        <v>0.06</v>
      </c>
      <c r="L11" s="11">
        <v>0.055</v>
      </c>
      <c r="M11" s="11">
        <v>0.055</v>
      </c>
      <c r="N11" s="11">
        <v>0.05</v>
      </c>
      <c r="O11" s="11">
        <v>0.05</v>
      </c>
      <c r="P11" s="11">
        <v>0.0475</v>
      </c>
      <c r="Q11" s="11">
        <v>0.045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0.1381786747</v>
      </c>
      <c r="D12" s="10">
        <f t="shared" si="4"/>
        <v>0.1256998767</v>
      </c>
      <c r="E12" s="10">
        <f t="shared" si="4"/>
        <v>0.1577291316</v>
      </c>
      <c r="F12" s="10">
        <f t="shared" si="4"/>
        <v>0.1564819227</v>
      </c>
      <c r="G12" s="10">
        <f t="shared" si="4"/>
        <v>0.1331437314</v>
      </c>
      <c r="H12" s="11">
        <f t="shared" si="4"/>
        <v>0.1388</v>
      </c>
      <c r="I12" s="11">
        <f t="shared" si="4"/>
        <v>0.1498</v>
      </c>
      <c r="J12" s="11">
        <f t="shared" si="4"/>
        <v>0.1546</v>
      </c>
      <c r="K12" s="11">
        <v>0.155</v>
      </c>
      <c r="L12" s="11">
        <v>0.1575</v>
      </c>
      <c r="M12" s="11">
        <v>0.15</v>
      </c>
      <c r="N12" s="11">
        <v>0.165</v>
      </c>
      <c r="O12" s="11">
        <v>0.175</v>
      </c>
      <c r="P12" s="11">
        <v>0.1725</v>
      </c>
      <c r="Q12" s="11">
        <v>0.17</v>
      </c>
      <c r="R12" s="11">
        <v>0.175</v>
      </c>
    </row>
    <row r="13" ht="15.75" customHeight="1">
      <c r="B13" s="2" t="s">
        <v>8</v>
      </c>
      <c r="C13" s="7">
        <v>95.107</v>
      </c>
      <c r="D13" s="7">
        <v>89.779</v>
      </c>
      <c r="E13" s="7">
        <v>114.744</v>
      </c>
      <c r="F13" s="7">
        <v>122.482</v>
      </c>
      <c r="G13" s="7">
        <v>119.566</v>
      </c>
      <c r="H13" s="8">
        <v>130.21982122</v>
      </c>
      <c r="I13" s="8">
        <v>152.987913274</v>
      </c>
      <c r="J13" s="8">
        <v>168.03999639999998</v>
      </c>
      <c r="K13" s="8">
        <f t="shared" ref="K13:R13" si="5">K10*K12</f>
        <v>178.5832562</v>
      </c>
      <c r="L13" s="8">
        <f t="shared" si="5"/>
        <v>191.444131</v>
      </c>
      <c r="M13" s="8">
        <f t="shared" si="5"/>
        <v>192.3557697</v>
      </c>
      <c r="N13" s="8">
        <f t="shared" si="5"/>
        <v>222.1709141</v>
      </c>
      <c r="O13" s="8">
        <f t="shared" si="5"/>
        <v>247.4176088</v>
      </c>
      <c r="P13" s="8">
        <f t="shared" si="5"/>
        <v>255.4675175</v>
      </c>
      <c r="Q13" s="8">
        <f t="shared" si="5"/>
        <v>263.0945187</v>
      </c>
      <c r="R13" s="8">
        <f t="shared" si="5"/>
        <v>276.2492446</v>
      </c>
    </row>
    <row r="14" ht="15.75" customHeight="1">
      <c r="A14" s="11">
        <v>0.35</v>
      </c>
      <c r="B14" s="2" t="s">
        <v>9</v>
      </c>
      <c r="C14" s="7">
        <v>61.353</v>
      </c>
      <c r="D14" s="7">
        <v>46.116</v>
      </c>
      <c r="E14" s="7">
        <v>52.344</v>
      </c>
      <c r="F14" s="7">
        <v>72.745</v>
      </c>
      <c r="G14" s="7">
        <v>67.608</v>
      </c>
      <c r="H14" s="8">
        <v>84.06121024</v>
      </c>
      <c r="I14" s="8">
        <v>96.204682446</v>
      </c>
      <c r="J14" s="8">
        <v>105.5412914</v>
      </c>
      <c r="K14" s="8">
        <f t="shared" ref="K14:R14" si="6">K13*(1-$A$14)</f>
        <v>116.0791165</v>
      </c>
      <c r="L14" s="8">
        <f t="shared" si="6"/>
        <v>124.4386852</v>
      </c>
      <c r="M14" s="8">
        <f t="shared" si="6"/>
        <v>125.0312503</v>
      </c>
      <c r="N14" s="8">
        <f t="shared" si="6"/>
        <v>144.4110941</v>
      </c>
      <c r="O14" s="8">
        <f t="shared" si="6"/>
        <v>160.8214457</v>
      </c>
      <c r="P14" s="8">
        <f t="shared" si="6"/>
        <v>166.0538863</v>
      </c>
      <c r="Q14" s="8">
        <f t="shared" si="6"/>
        <v>171.0114372</v>
      </c>
      <c r="R14" s="8">
        <f t="shared" si="6"/>
        <v>179.562009</v>
      </c>
    </row>
    <row r="15" ht="15.75" customHeight="1">
      <c r="A15" s="11">
        <v>0.99</v>
      </c>
      <c r="B15" s="2" t="s">
        <v>10</v>
      </c>
      <c r="H15" s="8">
        <f>C33</f>
        <v>0.590237992</v>
      </c>
      <c r="I15" s="8">
        <f t="shared" ref="I15:Q15" si="7">H15*$A$15</f>
        <v>0.5843356121</v>
      </c>
      <c r="J15" s="8">
        <f t="shared" si="7"/>
        <v>0.578492256</v>
      </c>
      <c r="K15" s="8">
        <f t="shared" si="7"/>
        <v>0.5727073334</v>
      </c>
      <c r="L15" s="8">
        <f t="shared" si="7"/>
        <v>0.5669802601</v>
      </c>
      <c r="M15" s="8">
        <f t="shared" si="7"/>
        <v>0.5613104575</v>
      </c>
      <c r="N15" s="8">
        <f t="shared" si="7"/>
        <v>0.5556973529</v>
      </c>
      <c r="O15" s="8">
        <f t="shared" si="7"/>
        <v>0.5501403794</v>
      </c>
      <c r="P15" s="8">
        <f t="shared" si="7"/>
        <v>0.5446389756</v>
      </c>
      <c r="Q15" s="8">
        <f t="shared" si="7"/>
        <v>0.5391925858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142.419179</v>
      </c>
      <c r="I16" s="8">
        <f t="shared" si="8"/>
        <v>164.6394306</v>
      </c>
      <c r="J16" s="8">
        <f t="shared" si="8"/>
        <v>182.4420125</v>
      </c>
      <c r="K16" s="8">
        <f t="shared" si="8"/>
        <v>202.6848789</v>
      </c>
      <c r="L16" s="8">
        <f t="shared" si="8"/>
        <v>219.4762215</v>
      </c>
      <c r="M16" s="8">
        <f t="shared" si="8"/>
        <v>222.7488347</v>
      </c>
      <c r="N16" s="8">
        <f t="shared" si="8"/>
        <v>259.8736405</v>
      </c>
      <c r="O16" s="8">
        <f t="shared" si="8"/>
        <v>292.3280162</v>
      </c>
      <c r="P16" s="8">
        <f t="shared" si="8"/>
        <v>304.887997</v>
      </c>
      <c r="Q16" s="8">
        <f t="shared" si="8"/>
        <v>317.162071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81.67727916</v>
      </c>
      <c r="I17" s="14">
        <f>I14/(1+$B$29)^2</f>
        <v>90.82542901</v>
      </c>
      <c r="J17" s="14">
        <f>J14/(1+$B$29)^3</f>
        <v>96.81424771</v>
      </c>
      <c r="K17" s="14">
        <f>K14/(1+$B$29)^4</f>
        <v>103.4609803</v>
      </c>
      <c r="L17" s="14">
        <f>L14/(1+$B$29)^5</f>
        <v>107.766439</v>
      </c>
      <c r="M17" s="14">
        <f>M14/(1+$B$29)^6</f>
        <v>105.2088605</v>
      </c>
      <c r="N17" s="14">
        <f>N14/(1+$B$29)^7</f>
        <v>118.0700983</v>
      </c>
      <c r="O17" s="14">
        <f>O14/(1+$B$29)^8</f>
        <v>127.7582493</v>
      </c>
      <c r="P17" s="14">
        <f>P14/(1+$B$29)^9</f>
        <v>128.1739174</v>
      </c>
      <c r="Q17" s="14">
        <f>Q14/(1+$B$29)^10</f>
        <v>128.2570936</v>
      </c>
      <c r="R17" s="15">
        <f>(R14/(B29-R11))/(1+B29)^10</f>
        <v>14658.4322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0.00623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0.0229572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0.36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0.0291872</v>
      </c>
    </row>
    <row r="30" ht="15.75" customHeight="1"/>
    <row r="31" ht="15.75" customHeight="1">
      <c r="A31" s="3"/>
      <c r="B31" s="3"/>
      <c r="C31" s="24">
        <v>45282.0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2967.126386</v>
      </c>
      <c r="D32" s="8">
        <f>SUM(H17:R17)</f>
        <v>15746.44479</v>
      </c>
    </row>
    <row r="33" ht="15.75" customHeight="1">
      <c r="A33" s="5"/>
      <c r="B33" s="5" t="s">
        <v>22</v>
      </c>
      <c r="C33" s="8">
        <f>0.620834319-0.030596327</f>
        <v>0.590237992</v>
      </c>
      <c r="D33" s="8">
        <f>C33</f>
        <v>0.590237992</v>
      </c>
    </row>
    <row r="34" ht="15.75" customHeight="1">
      <c r="A34" s="5"/>
      <c r="B34" s="5" t="s">
        <v>23</v>
      </c>
      <c r="C34" s="26">
        <v>5027.0</v>
      </c>
      <c r="D34" s="8">
        <f>D32/D33</f>
        <v>26678.12815</v>
      </c>
    </row>
    <row r="35" ht="15.75" customHeight="1">
      <c r="A35" s="5"/>
      <c r="B35" s="5" t="s">
        <v>24</v>
      </c>
      <c r="C35" s="5"/>
      <c r="D35" s="11">
        <f>IF(C34/D34-1&gt;0,0,C34/D34-1)*-1</f>
        <v>0.8115684889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32.0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10149.18627</v>
      </c>
    </row>
    <row r="43" ht="15.75" customHeight="1">
      <c r="A43" s="30"/>
      <c r="D43" s="18"/>
    </row>
    <row r="44" ht="15.75" customHeight="1">
      <c r="A44" s="30" t="s">
        <v>27</v>
      </c>
      <c r="D44" s="20">
        <v>0.4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923.4649128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10934.13145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1.175080853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0.08080548625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>
      <c r="A1" s="34">
        <v>0.82</v>
      </c>
    </row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Unicharm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688.29</v>
      </c>
      <c r="D10" s="7">
        <f>Optimistisch!D10</f>
        <v>714.233</v>
      </c>
      <c r="E10" s="7">
        <f>Optimistisch!E10</f>
        <v>727.475</v>
      </c>
      <c r="F10" s="7">
        <f>Optimistisch!F10</f>
        <v>782.723</v>
      </c>
      <c r="G10" s="7">
        <f>Optimistisch!G10</f>
        <v>898.022</v>
      </c>
      <c r="H10" s="8">
        <f>Optimistisch!H10</f>
        <v>938.18315</v>
      </c>
      <c r="I10" s="8">
        <f>Optimistisch!I10</f>
        <v>1021.28113</v>
      </c>
      <c r="J10" s="8">
        <f>Optimistisch!J10</f>
        <v>1086.934</v>
      </c>
      <c r="K10" s="8">
        <f t="shared" ref="K10:R10" si="2">J10*(1+K11)</f>
        <v>1146.71537</v>
      </c>
      <c r="L10" s="8">
        <f t="shared" si="2"/>
        <v>1181.116831</v>
      </c>
      <c r="M10" s="8">
        <f t="shared" si="2"/>
        <v>1240.172673</v>
      </c>
      <c r="N10" s="8">
        <f t="shared" si="2"/>
        <v>1295.980443</v>
      </c>
      <c r="O10" s="8">
        <f t="shared" si="2"/>
        <v>1347.819661</v>
      </c>
      <c r="P10" s="8">
        <f t="shared" si="2"/>
        <v>1368.036956</v>
      </c>
      <c r="Q10" s="8">
        <f t="shared" si="2"/>
        <v>1402.237879</v>
      </c>
      <c r="R10" s="8">
        <f t="shared" si="2"/>
        <v>1423.271448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0.03769196124</v>
      </c>
      <c r="E11" s="10">
        <f t="shared" si="3"/>
        <v>0.01854016826</v>
      </c>
      <c r="F11" s="10">
        <f t="shared" si="3"/>
        <v>0.07594487783</v>
      </c>
      <c r="G11" s="10">
        <f t="shared" si="3"/>
        <v>0.1473049853</v>
      </c>
      <c r="H11" s="11">
        <f t="shared" si="3"/>
        <v>0.04472178855</v>
      </c>
      <c r="I11" s="11">
        <f t="shared" si="3"/>
        <v>0.08857330256</v>
      </c>
      <c r="J11" s="11">
        <f t="shared" si="3"/>
        <v>0.06428481646</v>
      </c>
      <c r="K11" s="11">
        <v>0.055</v>
      </c>
      <c r="L11" s="11">
        <v>0.03</v>
      </c>
      <c r="M11" s="11">
        <v>0.05</v>
      </c>
      <c r="N11" s="11">
        <v>0.045</v>
      </c>
      <c r="O11" s="11">
        <v>0.04</v>
      </c>
      <c r="P11" s="11">
        <v>0.015</v>
      </c>
      <c r="Q11" s="11">
        <v>0.025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0.1381786747</v>
      </c>
      <c r="D12" s="10">
        <f t="shared" si="4"/>
        <v>0.1256998767</v>
      </c>
      <c r="E12" s="10">
        <f t="shared" si="4"/>
        <v>0.1577291316</v>
      </c>
      <c r="F12" s="10">
        <f t="shared" si="4"/>
        <v>0.1564819227</v>
      </c>
      <c r="G12" s="10">
        <f t="shared" si="4"/>
        <v>0.1331437314</v>
      </c>
      <c r="H12" s="11">
        <f t="shared" si="4"/>
        <v>0.1388</v>
      </c>
      <c r="I12" s="11">
        <f t="shared" si="4"/>
        <v>0.1498</v>
      </c>
      <c r="J12" s="11">
        <f t="shared" si="4"/>
        <v>0.1546</v>
      </c>
      <c r="K12" s="11">
        <v>0.125</v>
      </c>
      <c r="L12" s="11">
        <v>0.13</v>
      </c>
      <c r="M12" s="11">
        <v>0.1325</v>
      </c>
      <c r="N12" s="11">
        <v>0.135</v>
      </c>
      <c r="O12" s="11">
        <v>0.145</v>
      </c>
      <c r="P12" s="11">
        <v>0.14</v>
      </c>
      <c r="Q12" s="11">
        <v>0.12</v>
      </c>
      <c r="R12" s="11">
        <v>0.145</v>
      </c>
    </row>
    <row r="13" ht="15.75" customHeight="1">
      <c r="B13" s="2" t="s">
        <v>8</v>
      </c>
      <c r="C13" s="7">
        <f>Optimistisch!C13</f>
        <v>95.107</v>
      </c>
      <c r="D13" s="7">
        <f>Optimistisch!D13</f>
        <v>89.779</v>
      </c>
      <c r="E13" s="7">
        <f>Optimistisch!E13</f>
        <v>114.744</v>
      </c>
      <c r="F13" s="7">
        <f>Optimistisch!F13</f>
        <v>122.482</v>
      </c>
      <c r="G13" s="7">
        <f>Optimistisch!G13</f>
        <v>119.566</v>
      </c>
      <c r="H13" s="8">
        <f>Optimistisch!H13</f>
        <v>130.2198212</v>
      </c>
      <c r="I13" s="8">
        <f>Optimistisch!I13</f>
        <v>152.9879133</v>
      </c>
      <c r="J13" s="8">
        <f>Optimistisch!J13</f>
        <v>168.0399964</v>
      </c>
      <c r="K13" s="8">
        <f t="shared" ref="K13:R13" si="5">K10*K12</f>
        <v>143.3394213</v>
      </c>
      <c r="L13" s="8">
        <f t="shared" si="5"/>
        <v>153.545188</v>
      </c>
      <c r="M13" s="8">
        <f t="shared" si="5"/>
        <v>164.3228791</v>
      </c>
      <c r="N13" s="8">
        <f t="shared" si="5"/>
        <v>174.9573598</v>
      </c>
      <c r="O13" s="8">
        <f t="shared" si="5"/>
        <v>195.4338508</v>
      </c>
      <c r="P13" s="8">
        <f t="shared" si="5"/>
        <v>191.5251738</v>
      </c>
      <c r="Q13" s="8">
        <f t="shared" si="5"/>
        <v>168.2685455</v>
      </c>
      <c r="R13" s="8">
        <f t="shared" si="5"/>
        <v>206.3743599</v>
      </c>
    </row>
    <row r="14" ht="15.75" customHeight="1">
      <c r="A14" s="11">
        <v>0.4</v>
      </c>
      <c r="B14" s="2" t="s">
        <v>9</v>
      </c>
      <c r="C14" s="7">
        <f>Optimistisch!C14</f>
        <v>61.353</v>
      </c>
      <c r="D14" s="7">
        <f>Optimistisch!D14</f>
        <v>46.116</v>
      </c>
      <c r="E14" s="7">
        <f>Optimistisch!E14</f>
        <v>52.344</v>
      </c>
      <c r="F14" s="7">
        <f>Optimistisch!F14</f>
        <v>72.745</v>
      </c>
      <c r="G14" s="7">
        <f>Optimistisch!G14</f>
        <v>67.608</v>
      </c>
      <c r="H14" s="8">
        <f>Optimistisch!H14</f>
        <v>84.06121024</v>
      </c>
      <c r="I14" s="8">
        <f>Optimistisch!I14</f>
        <v>96.20468245</v>
      </c>
      <c r="J14" s="8">
        <f>Optimistisch!J14</f>
        <v>105.5412914</v>
      </c>
      <c r="K14" s="8">
        <f t="shared" ref="K14:R14" si="6">K13*(1-$A$14)</f>
        <v>86.00365275</v>
      </c>
      <c r="L14" s="8">
        <f t="shared" si="6"/>
        <v>92.12711283</v>
      </c>
      <c r="M14" s="8">
        <f t="shared" si="6"/>
        <v>98.59372748</v>
      </c>
      <c r="N14" s="8">
        <f t="shared" si="6"/>
        <v>104.9744159</v>
      </c>
      <c r="O14" s="8">
        <f t="shared" si="6"/>
        <v>117.2603105</v>
      </c>
      <c r="P14" s="8">
        <f t="shared" si="6"/>
        <v>114.9151043</v>
      </c>
      <c r="Q14" s="8">
        <f t="shared" si="6"/>
        <v>100.9611273</v>
      </c>
      <c r="R14" s="8">
        <f t="shared" si="6"/>
        <v>123.8246159</v>
      </c>
    </row>
    <row r="15" ht="15.75" customHeight="1">
      <c r="A15" s="11">
        <v>0.995</v>
      </c>
      <c r="B15" s="2" t="s">
        <v>10</v>
      </c>
      <c r="H15" s="8">
        <f>C33</f>
        <v>0.590237992</v>
      </c>
      <c r="I15" s="8">
        <f t="shared" ref="I15:Q15" si="7">H15*$A$15</f>
        <v>0.587286802</v>
      </c>
      <c r="J15" s="8">
        <f t="shared" si="7"/>
        <v>0.584350368</v>
      </c>
      <c r="K15" s="8">
        <f t="shared" si="7"/>
        <v>0.5814286162</v>
      </c>
      <c r="L15" s="8">
        <f t="shared" si="7"/>
        <v>0.5785214731</v>
      </c>
      <c r="M15" s="8">
        <f t="shared" si="7"/>
        <v>0.5756288657</v>
      </c>
      <c r="N15" s="8">
        <f t="shared" si="7"/>
        <v>0.5727507214</v>
      </c>
      <c r="O15" s="8">
        <f t="shared" si="7"/>
        <v>0.5698869678</v>
      </c>
      <c r="P15" s="8">
        <f t="shared" si="7"/>
        <v>0.567037533</v>
      </c>
      <c r="Q15" s="8">
        <f t="shared" si="7"/>
        <v>0.5642023453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142.419179</v>
      </c>
      <c r="I16" s="8">
        <f t="shared" si="8"/>
        <v>163.8120968</v>
      </c>
      <c r="J16" s="8">
        <f t="shared" si="8"/>
        <v>180.6130315</v>
      </c>
      <c r="K16" s="8">
        <f t="shared" si="8"/>
        <v>147.9178189</v>
      </c>
      <c r="L16" s="8">
        <f t="shared" si="8"/>
        <v>159.2457966</v>
      </c>
      <c r="M16" s="8">
        <f t="shared" si="8"/>
        <v>171.2800267</v>
      </c>
      <c r="N16" s="8">
        <f t="shared" si="8"/>
        <v>183.2811587</v>
      </c>
      <c r="O16" s="8">
        <f t="shared" si="8"/>
        <v>205.7606457</v>
      </c>
      <c r="P16" s="8">
        <f t="shared" si="8"/>
        <v>202.6587264</v>
      </c>
      <c r="Q16" s="8">
        <f t="shared" si="8"/>
        <v>178.9448912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81.67727916</v>
      </c>
      <c r="I17" s="14">
        <f>I14/(1+$B$29)^2</f>
        <v>90.82542901</v>
      </c>
      <c r="J17" s="14">
        <f>J14/(1+$B$29)^3</f>
        <v>96.81424771</v>
      </c>
      <c r="K17" s="14">
        <f>K14/(1+$B$29)^4</f>
        <v>76.65480655</v>
      </c>
      <c r="L17" s="14">
        <f>L14/(1+$B$29)^5</f>
        <v>79.78395843</v>
      </c>
      <c r="M17" s="14">
        <f>M14/(1+$B$29)^6</f>
        <v>82.96272883</v>
      </c>
      <c r="N17" s="14">
        <f>N14/(1+$B$29)^7</f>
        <v>85.82678271</v>
      </c>
      <c r="O17" s="14">
        <f>O14/(1+$B$29)^8</f>
        <v>93.15282493</v>
      </c>
      <c r="P17" s="14">
        <f>P14/(1+$B$29)^9</f>
        <v>88.70083929</v>
      </c>
      <c r="Q17" s="14">
        <f>Q14/(1+$B$29)^10</f>
        <v>75.71996921</v>
      </c>
      <c r="R17" s="15">
        <f>(R14/(B29-R11))/(1+B29)^10</f>
        <v>6545.857339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0.00623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0.0229572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0.36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0.0291872</v>
      </c>
    </row>
    <row r="30" ht="15.75" customHeight="1"/>
    <row r="31" ht="15.75" customHeight="1">
      <c r="A31" s="3"/>
      <c r="B31" s="3"/>
      <c r="C31" s="24">
        <f>Optimistisch!C31</f>
        <v>45282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2967.126386</v>
      </c>
      <c r="D32" s="8">
        <f>SUM(H17:R17)</f>
        <v>7397.976205</v>
      </c>
    </row>
    <row r="33" ht="15.75" customHeight="1">
      <c r="A33" s="5"/>
      <c r="B33" s="5" t="s">
        <v>22</v>
      </c>
      <c r="C33" s="8">
        <f>Optimistisch!C33</f>
        <v>0.590237992</v>
      </c>
      <c r="D33" s="8">
        <f>C33</f>
        <v>0.590237992</v>
      </c>
    </row>
    <row r="34" ht="15.75" customHeight="1">
      <c r="A34" s="5"/>
      <c r="B34" s="5" t="s">
        <v>23</v>
      </c>
      <c r="C34" s="8">
        <f>Optimistisch!C34</f>
        <v>5027</v>
      </c>
      <c r="D34" s="8">
        <f>D32/D33</f>
        <v>12533.88685</v>
      </c>
    </row>
    <row r="35" ht="15.75" customHeight="1">
      <c r="A35" s="5"/>
      <c r="B35" s="5" t="s">
        <v>24</v>
      </c>
      <c r="C35" s="5"/>
      <c r="D35" s="11">
        <f>IF(C34/D34-1&gt;0,0,C34/D34-1)*-1</f>
        <v>0.5989272872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28.0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5010.456955</v>
      </c>
    </row>
    <row r="43" ht="15.75" customHeight="1">
      <c r="A43" s="30"/>
      <c r="D43" s="18"/>
    </row>
    <row r="44" ht="15.75" customHeight="1">
      <c r="A44" s="30" t="s">
        <v>27</v>
      </c>
      <c r="D44" s="20">
        <v>0.3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520.7800114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5453.119965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0.08476625513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0.008169643964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Unicharm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688.29</v>
      </c>
      <c r="D10" s="7">
        <f>Optimistisch!D10</f>
        <v>714.233</v>
      </c>
      <c r="E10" s="7">
        <f>Optimistisch!E10</f>
        <v>727.475</v>
      </c>
      <c r="F10" s="7">
        <f>Optimistisch!F10</f>
        <v>782.723</v>
      </c>
      <c r="G10" s="7">
        <f>Optimistisch!G10</f>
        <v>898.022</v>
      </c>
      <c r="H10" s="8">
        <f>Optimistisch!H10</f>
        <v>938.18315</v>
      </c>
      <c r="I10" s="8">
        <f>Optimistisch!I10</f>
        <v>1021.28113</v>
      </c>
      <c r="J10" s="8">
        <f>Optimistisch!J10</f>
        <v>1086.934</v>
      </c>
      <c r="K10" s="8">
        <f>(Optimistisch!K10+Pessimistisch!K10)/2</f>
        <v>1149.432705</v>
      </c>
      <c r="L10" s="8">
        <f>(Optimistisch!L10+Pessimistisch!L10)/2</f>
        <v>1198.317562</v>
      </c>
      <c r="M10" s="8">
        <f>(Optimistisch!M10+Pessimistisch!M10)/2</f>
        <v>1261.272235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0.04529921981</v>
      </c>
      <c r="D11" s="10">
        <f t="shared" si="2"/>
        <v>0.04048258761</v>
      </c>
      <c r="E11" s="10">
        <f t="shared" si="2"/>
        <v>0.1520629575</v>
      </c>
      <c r="F11" s="10">
        <f t="shared" si="2"/>
        <v>0.08777179155</v>
      </c>
      <c r="G11" s="10">
        <f t="shared" si="2"/>
        <v>0.09473153219</v>
      </c>
      <c r="H11" s="11">
        <v>0.1006</v>
      </c>
      <c r="I11" s="11">
        <v>0.0978</v>
      </c>
      <c r="J11" s="11">
        <v>0.1006</v>
      </c>
      <c r="K11" s="11">
        <v>0.105</v>
      </c>
      <c r="L11" s="11">
        <v>0.095</v>
      </c>
      <c r="M11" s="11">
        <v>0.125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31.179</v>
      </c>
      <c r="D12" s="7">
        <v>28.914</v>
      </c>
      <c r="E12" s="7">
        <v>110.622</v>
      </c>
      <c r="F12" s="7">
        <v>68.701</v>
      </c>
      <c r="G12" s="7">
        <v>85.071</v>
      </c>
      <c r="H12" s="8">
        <f t="shared" ref="H12:M12" si="3">H10*H11</f>
        <v>94.38122489</v>
      </c>
      <c r="I12" s="8">
        <f t="shared" si="3"/>
        <v>99.88129451</v>
      </c>
      <c r="J12" s="8">
        <f t="shared" si="3"/>
        <v>109.3455604</v>
      </c>
      <c r="K12" s="8">
        <f t="shared" si="3"/>
        <v>120.690434</v>
      </c>
      <c r="L12" s="8">
        <f t="shared" si="3"/>
        <v>113.8401684</v>
      </c>
      <c r="M12" s="8">
        <f t="shared" si="3"/>
        <v>157.6590294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91.7171405</v>
      </c>
      <c r="I13" s="14">
        <f>I12/(1+$B$37)^2</f>
        <v>94.32220739</v>
      </c>
      <c r="J13" s="14">
        <f>J12/(1+$B$37)^3</f>
        <v>100.3450249</v>
      </c>
      <c r="K13" s="14">
        <f>K12/(1+$B$37)^4</f>
        <v>107.6297759</v>
      </c>
      <c r="L13" s="14">
        <f>L12/(1+$B$37)^5</f>
        <v>98.65520718</v>
      </c>
      <c r="M13" s="15">
        <f>(M12/(B37-B39))/(1+B37)^5</f>
        <v>15102.57436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0.00623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0.0229572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0.36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0.0291872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2967.126386</v>
      </c>
    </row>
    <row r="30" ht="15.75" customHeight="1">
      <c r="A30" s="30"/>
      <c r="B30" s="18"/>
    </row>
    <row r="31" ht="15.75" customHeight="1">
      <c r="A31" s="30" t="s">
        <v>36</v>
      </c>
      <c r="B31" s="21">
        <f>12.218+18.231</f>
        <v>30.449</v>
      </c>
    </row>
    <row r="32" ht="15.75" customHeight="1">
      <c r="A32" s="30"/>
      <c r="B32" s="18"/>
    </row>
    <row r="33" ht="15.75" customHeight="1">
      <c r="A33" s="30" t="s">
        <v>37</v>
      </c>
      <c r="B33" s="20">
        <v>0.02</v>
      </c>
    </row>
    <row r="34" ht="15.75" customHeight="1">
      <c r="A34" s="30"/>
      <c r="B34" s="18"/>
    </row>
    <row r="35" ht="15.75" customHeight="1">
      <c r="A35" s="30" t="s">
        <v>38</v>
      </c>
      <c r="B35" s="20">
        <v>0.232</v>
      </c>
    </row>
    <row r="36" ht="15.75" customHeight="1">
      <c r="A36" s="30"/>
      <c r="B36" s="18"/>
    </row>
    <row r="37" ht="15.75" customHeight="1">
      <c r="A37" s="35" t="s">
        <v>39</v>
      </c>
      <c r="B37" s="23">
        <f>B25*(B29/(B29+B31))+B33*(B31/(B29+B31))*(1-B35)</f>
        <v>0.02904674501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45282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2967.126386</v>
      </c>
      <c r="D42" s="8">
        <f>SUM(H13:M13)-B31</f>
        <v>15564.79471</v>
      </c>
    </row>
    <row r="43" ht="15.75" customHeight="1">
      <c r="A43" s="5"/>
      <c r="B43" s="5" t="s">
        <v>22</v>
      </c>
      <c r="C43" s="8">
        <f>Optimistisch!C33</f>
        <v>0.590237992</v>
      </c>
      <c r="D43" s="8">
        <f>C43</f>
        <v>0.590237992</v>
      </c>
    </row>
    <row r="44" ht="15.75" customHeight="1">
      <c r="A44" s="5"/>
      <c r="B44" s="5" t="s">
        <v>23</v>
      </c>
      <c r="C44" s="8">
        <f>Optimistisch!C34</f>
        <v>5027</v>
      </c>
      <c r="D44" s="8">
        <f>D42/D43</f>
        <v>26370.3708</v>
      </c>
    </row>
    <row r="45" ht="15.75" customHeight="1">
      <c r="A45" s="5"/>
      <c r="B45" s="5" t="s">
        <v>24</v>
      </c>
      <c r="C45" s="5"/>
      <c r="D45" s="11">
        <f>IF(C44/D44-1&gt;0,0,C44/D44-1)*-1</f>
        <v>0.8093693852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