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ptimistisch" sheetId="1" r:id="rId4"/>
    <sheet state="visible" name="Pessimistisch" sheetId="2" r:id="rId5"/>
    <sheet state="visible" name="Wachstum für Faire Bewertung" sheetId="3" r:id="rId6"/>
    <sheet state="visible" name="DCF" sheetId="4" r:id="rId7"/>
  </sheets>
  <definedNames/>
  <calcPr/>
  <extLst>
    <ext uri="GoogleSheetsCustomDataVersion2">
      <go:sheetsCustomData xmlns:go="http://customooxmlschemas.google.com/" r:id="rId8" roundtripDataChecksum="5OhOQfEg8iVcpxfX4ilu/4p5yHnNFN+gWOy9882igTE="/>
    </ext>
  </extLst>
</workbook>
</file>

<file path=xl/sharedStrings.xml><?xml version="1.0" encoding="utf-8"?>
<sst xmlns="http://schemas.openxmlformats.org/spreadsheetml/2006/main" count="118" uniqueCount="41">
  <si>
    <t>Discounted Net-Profit Modell</t>
  </si>
  <si>
    <t>Annahmen für Ahold Delhaize</t>
  </si>
  <si>
    <t>Alle Angaben in Mrd.</t>
  </si>
  <si>
    <t>Schätzungen »</t>
  </si>
  <si>
    <t>Umsatz</t>
  </si>
  <si>
    <t>Umsatzwachstum</t>
  </si>
  <si>
    <t>-</t>
  </si>
  <si>
    <t>EBIT Marge</t>
  </si>
  <si>
    <t>EBIT</t>
  </si>
  <si>
    <t>Gewinn (abzgl. Steuern, Zinsen)</t>
  </si>
  <si>
    <t>Anzahl an Aktien (abzgl. Aktienrückkäufe)</t>
  </si>
  <si>
    <t>Gewinn je Aktie</t>
  </si>
  <si>
    <t>Abgezinster Gewinn</t>
  </si>
  <si>
    <t>Berechnung der Eigenkapitalkosten:</t>
  </si>
  <si>
    <t>Risikoloser Basiszins:</t>
  </si>
  <si>
    <t>Risikoprämie:</t>
  </si>
  <si>
    <t>Marktrendite:</t>
  </si>
  <si>
    <t>Beta-Faktor:</t>
  </si>
  <si>
    <t>Eigenkapitalkosten:</t>
  </si>
  <si>
    <t>Fairer Wert</t>
  </si>
  <si>
    <t>Bewertung</t>
  </si>
  <si>
    <t>Marktkapitalisierung</t>
  </si>
  <si>
    <t>Anzahl an Aktien</t>
  </si>
  <si>
    <t>Kurs je Aktie</t>
  </si>
  <si>
    <t>Unterbewertung</t>
  </si>
  <si>
    <t>Überbewertung</t>
  </si>
  <si>
    <t>Berechnung der Renditeerwartung:</t>
  </si>
  <si>
    <t>Durchschnittliche Ausschüttungsquote:</t>
  </si>
  <si>
    <t>Ausgeschüttete Gewinne:</t>
  </si>
  <si>
    <t>Quellensteuer</t>
  </si>
  <si>
    <t>Discounted Cashflow Modell</t>
  </si>
  <si>
    <t>Free Cashflow Marge</t>
  </si>
  <si>
    <t>Free Cashflow</t>
  </si>
  <si>
    <t>Abgezinster Free Cashflow</t>
  </si>
  <si>
    <t>Berechnung der WACC:</t>
  </si>
  <si>
    <t>Marktkapitalisierung:</t>
  </si>
  <si>
    <t>Verzinstes Fremdkapital:</t>
  </si>
  <si>
    <t>Zinsrate (durchschnittlich):</t>
  </si>
  <si>
    <t>Steuerrate (durchschnittlich):</t>
  </si>
  <si>
    <t>WACC:</t>
  </si>
  <si>
    <t>Wachstumsabschlag: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</si>
</sst>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2.0"/>
      <color theme="1"/>
      <name val="Calibri"/>
      <scheme val="minor"/>
    </font>
    <font>
      <b/>
      <sz val="20.0"/>
      <color theme="1"/>
      <name val="Calibri"/>
    </font>
    <font>
      <color theme="1"/>
      <name val="Calibri"/>
      <scheme val="minor"/>
    </font>
    <font>
      <sz val="12.0"/>
      <color theme="1"/>
      <name val="Calibri"/>
    </font>
    <font>
      <sz val="12.0"/>
      <color theme="0"/>
      <name val="Calibri"/>
    </font>
    <font>
      <u/>
      <sz val="12.0"/>
      <color theme="1"/>
      <name val="Calibri"/>
    </font>
    <font>
      <u/>
      <sz val="12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17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1" fillId="2" fontId="3" numFmtId="0" xfId="0" applyBorder="1" applyFill="1" applyFont="1"/>
    <xf borderId="1" fillId="2" fontId="4" numFmtId="0" xfId="0" applyBorder="1" applyFont="1"/>
    <xf borderId="1" fillId="3" fontId="3" numFmtId="0" xfId="0" applyBorder="1" applyFill="1" applyFont="1"/>
    <xf borderId="1" fillId="3" fontId="3" numFmtId="0" xfId="0" applyAlignment="1" applyBorder="1" applyFont="1">
      <alignment horizontal="right"/>
    </xf>
    <xf borderId="0" fillId="0" fontId="3" numFmtId="2" xfId="0" applyFont="1" applyNumberFormat="1"/>
    <xf borderId="1" fillId="3" fontId="3" numFmtId="2" xfId="0" applyBorder="1" applyFont="1" applyNumberFormat="1"/>
    <xf borderId="0" fillId="0" fontId="3" numFmtId="0" xfId="0" applyAlignment="1" applyFont="1">
      <alignment horizontal="right"/>
    </xf>
    <xf borderId="0" fillId="0" fontId="3" numFmtId="10" xfId="0" applyFont="1" applyNumberFormat="1"/>
    <xf borderId="1" fillId="3" fontId="3" numFmtId="10" xfId="0" applyBorder="1" applyFont="1" applyNumberFormat="1"/>
    <xf borderId="2" fillId="0" fontId="3" numFmtId="0" xfId="0" applyBorder="1" applyFont="1"/>
    <xf borderId="3" fillId="0" fontId="3" numFmtId="0" xfId="0" applyBorder="1" applyFont="1"/>
    <xf borderId="4" fillId="4" fontId="3" numFmtId="2" xfId="0" applyBorder="1" applyFill="1" applyFont="1" applyNumberFormat="1"/>
    <xf borderId="5" fillId="4" fontId="3" numFmtId="2" xfId="0" applyBorder="1" applyFont="1" applyNumberFormat="1"/>
    <xf borderId="6" fillId="0" fontId="5" numFmtId="0" xfId="0" applyBorder="1" applyFont="1"/>
    <xf borderId="7" fillId="0" fontId="3" numFmtId="0" xfId="0" applyBorder="1" applyFont="1"/>
    <xf borderId="8" fillId="0" fontId="3" numFmtId="0" xfId="0" applyBorder="1" applyFont="1"/>
    <xf borderId="8" fillId="0" fontId="3" numFmtId="10" xfId="0" applyAlignment="1" applyBorder="1" applyFont="1" applyNumberFormat="1">
      <alignment readingOrder="0"/>
    </xf>
    <xf borderId="8" fillId="0" fontId="3" numFmtId="10" xfId="0" applyBorder="1" applyFont="1" applyNumberFormat="1"/>
    <xf borderId="8" fillId="0" fontId="3" numFmtId="2" xfId="0" applyBorder="1" applyFont="1" applyNumberFormat="1"/>
    <xf borderId="9" fillId="0" fontId="3" numFmtId="0" xfId="0" applyBorder="1" applyFont="1"/>
    <xf borderId="10" fillId="0" fontId="3" numFmtId="10" xfId="0" applyBorder="1" applyFont="1" applyNumberFormat="1"/>
    <xf borderId="1" fillId="2" fontId="4" numFmtId="14" xfId="0" applyAlignment="1" applyBorder="1" applyFont="1" applyNumberFormat="1">
      <alignment horizontal="right"/>
    </xf>
    <xf borderId="1" fillId="2" fontId="4" numFmtId="0" xfId="0" applyAlignment="1" applyBorder="1" applyFont="1">
      <alignment horizontal="right"/>
    </xf>
    <xf borderId="1" fillId="3" fontId="3" numFmtId="2" xfId="0" applyAlignment="1" applyBorder="1" applyFont="1" applyNumberFormat="1">
      <alignment readingOrder="0"/>
    </xf>
    <xf borderId="1" fillId="4" fontId="3" numFmtId="0" xfId="0" applyBorder="1" applyFont="1"/>
    <xf borderId="11" fillId="0" fontId="6" numFmtId="0" xfId="0" applyBorder="1" applyFont="1"/>
    <xf borderId="6" fillId="0" fontId="3" numFmtId="0" xfId="0" applyBorder="1" applyFont="1"/>
    <xf borderId="12" fillId="0" fontId="3" numFmtId="0" xfId="0" applyBorder="1" applyFont="1"/>
    <xf borderId="13" fillId="3" fontId="3" numFmtId="0" xfId="0" applyBorder="1" applyFont="1"/>
    <xf borderId="14" fillId="3" fontId="3" numFmtId="0" xfId="0" applyBorder="1" applyFont="1"/>
    <xf borderId="15" fillId="3" fontId="3" numFmtId="10" xfId="0" applyBorder="1" applyFont="1" applyNumberFormat="1"/>
    <xf borderId="16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8" width="10.33"/>
    <col customWidth="1" min="19" max="26" width="8.33"/>
  </cols>
  <sheetData>
    <row r="1" ht="15.75" customHeight="1"/>
    <row r="2" ht="15.75" customHeight="1">
      <c r="B2" s="1" t="s">
        <v>0</v>
      </c>
    </row>
    <row r="3" ht="15.75" customHeight="1"/>
    <row r="4" ht="15.75" customHeight="1">
      <c r="B4" s="2" t="s">
        <v>1</v>
      </c>
    </row>
    <row r="5" ht="15.75" customHeight="1"/>
    <row r="6" ht="15.75" customHeight="1">
      <c r="B6" s="2" t="s">
        <v>2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ht="15.75" customHeight="1">
      <c r="C9" s="2">
        <v>2018.0</v>
      </c>
      <c r="D9" s="2">
        <f t="shared" ref="D9:Q9" si="1">C9+1</f>
        <v>2019</v>
      </c>
      <c r="E9" s="2">
        <f t="shared" si="1"/>
        <v>2020</v>
      </c>
      <c r="F9" s="2">
        <f t="shared" si="1"/>
        <v>2021</v>
      </c>
      <c r="G9" s="2">
        <f t="shared" si="1"/>
        <v>2022</v>
      </c>
      <c r="H9" s="5">
        <f t="shared" si="1"/>
        <v>2023</v>
      </c>
      <c r="I9" s="5">
        <f t="shared" si="1"/>
        <v>2024</v>
      </c>
      <c r="J9" s="5">
        <f t="shared" si="1"/>
        <v>2025</v>
      </c>
      <c r="K9" s="5">
        <f t="shared" si="1"/>
        <v>2026</v>
      </c>
      <c r="L9" s="5">
        <f t="shared" si="1"/>
        <v>2027</v>
      </c>
      <c r="M9" s="5">
        <f t="shared" si="1"/>
        <v>2028</v>
      </c>
      <c r="N9" s="5">
        <f t="shared" si="1"/>
        <v>2029</v>
      </c>
      <c r="O9" s="5">
        <f t="shared" si="1"/>
        <v>2030</v>
      </c>
      <c r="P9" s="5">
        <f t="shared" si="1"/>
        <v>2031</v>
      </c>
      <c r="Q9" s="5">
        <f t="shared" si="1"/>
        <v>2032</v>
      </c>
      <c r="R9" s="6" t="str">
        <f>Q9+1&amp;"ff."</f>
        <v>2033ff.</v>
      </c>
    </row>
    <row r="10" ht="15.75" customHeight="1">
      <c r="B10" s="2" t="s">
        <v>4</v>
      </c>
      <c r="C10" s="7">
        <v>62.791</v>
      </c>
      <c r="D10" s="7">
        <v>66.26</v>
      </c>
      <c r="E10" s="7">
        <v>74.736</v>
      </c>
      <c r="F10" s="7">
        <v>75.601</v>
      </c>
      <c r="G10" s="7">
        <v>86.984</v>
      </c>
      <c r="H10" s="8">
        <v>88.73065</v>
      </c>
      <c r="I10" s="8">
        <v>90.39901</v>
      </c>
      <c r="J10" s="8">
        <v>92.34512</v>
      </c>
      <c r="K10" s="8">
        <f t="shared" ref="K10:R10" si="2">J10*(1+K11)</f>
        <v>94.653748</v>
      </c>
      <c r="L10" s="8">
        <f t="shared" si="2"/>
        <v>96.78345733</v>
      </c>
      <c r="M10" s="8">
        <f t="shared" si="2"/>
        <v>98.47716783</v>
      </c>
      <c r="N10" s="8">
        <f t="shared" si="2"/>
        <v>100.4467112</v>
      </c>
      <c r="O10" s="8">
        <f t="shared" si="2"/>
        <v>102.4556454</v>
      </c>
      <c r="P10" s="8">
        <f t="shared" si="2"/>
        <v>103.9924801</v>
      </c>
      <c r="Q10" s="8">
        <f t="shared" si="2"/>
        <v>105.5523673</v>
      </c>
      <c r="R10" s="8">
        <f t="shared" si="2"/>
        <v>106.607891</v>
      </c>
    </row>
    <row r="11" ht="15.75" customHeight="1">
      <c r="B11" s="2" t="s">
        <v>5</v>
      </c>
      <c r="C11" s="9" t="s">
        <v>6</v>
      </c>
      <c r="D11" s="10">
        <f t="shared" ref="D11:J11" si="3">D10/C10-1</f>
        <v>0.05524677103</v>
      </c>
      <c r="E11" s="10">
        <f t="shared" si="3"/>
        <v>0.1279203139</v>
      </c>
      <c r="F11" s="10">
        <f t="shared" si="3"/>
        <v>0.01157407407</v>
      </c>
      <c r="G11" s="10">
        <f t="shared" si="3"/>
        <v>0.1505667914</v>
      </c>
      <c r="H11" s="11">
        <f t="shared" si="3"/>
        <v>0.02008012968</v>
      </c>
      <c r="I11" s="11">
        <f t="shared" si="3"/>
        <v>0.01880252201</v>
      </c>
      <c r="J11" s="11">
        <f t="shared" si="3"/>
        <v>0.02152800125</v>
      </c>
      <c r="K11" s="11">
        <v>0.025</v>
      </c>
      <c r="L11" s="11">
        <v>0.0225</v>
      </c>
      <c r="M11" s="11">
        <v>0.0175</v>
      </c>
      <c r="N11" s="11">
        <v>0.02</v>
      </c>
      <c r="O11" s="11">
        <v>0.02</v>
      </c>
      <c r="P11" s="11">
        <v>0.015</v>
      </c>
      <c r="Q11" s="11">
        <v>0.015</v>
      </c>
      <c r="R11" s="11">
        <v>0.01</v>
      </c>
    </row>
    <row r="12" ht="15.75" customHeight="1">
      <c r="B12" s="2" t="s">
        <v>7</v>
      </c>
      <c r="C12" s="10">
        <f t="shared" ref="C12:J12" si="4">C13/C10</f>
        <v>0.04177350257</v>
      </c>
      <c r="D12" s="10">
        <f t="shared" si="4"/>
        <v>0.04017506791</v>
      </c>
      <c r="E12" s="10">
        <f t="shared" si="4"/>
        <v>0.02931652751</v>
      </c>
      <c r="F12" s="10">
        <f t="shared" si="4"/>
        <v>0.04391476303</v>
      </c>
      <c r="G12" s="10">
        <f t="shared" si="4"/>
        <v>0.04228363837</v>
      </c>
      <c r="H12" s="11">
        <f t="shared" si="4"/>
        <v>0.0399</v>
      </c>
      <c r="I12" s="11">
        <f t="shared" si="4"/>
        <v>0.04</v>
      </c>
      <c r="J12" s="11">
        <f t="shared" si="4"/>
        <v>0.0407</v>
      </c>
      <c r="K12" s="11">
        <v>0.0415</v>
      </c>
      <c r="L12" s="11">
        <v>0.0425</v>
      </c>
      <c r="M12" s="11">
        <v>0.044</v>
      </c>
      <c r="N12" s="11">
        <v>0.0425</v>
      </c>
      <c r="O12" s="11">
        <v>0.0425</v>
      </c>
      <c r="P12" s="11">
        <v>0.0415</v>
      </c>
      <c r="Q12" s="11">
        <v>0.04</v>
      </c>
      <c r="R12" s="11">
        <v>0.0415</v>
      </c>
    </row>
    <row r="13" ht="15.75" customHeight="1">
      <c r="B13" s="2" t="s">
        <v>8</v>
      </c>
      <c r="C13" s="7">
        <v>2.623</v>
      </c>
      <c r="D13" s="7">
        <v>2.662</v>
      </c>
      <c r="E13" s="7">
        <v>2.191</v>
      </c>
      <c r="F13" s="7">
        <v>3.32</v>
      </c>
      <c r="G13" s="7">
        <v>3.678</v>
      </c>
      <c r="H13" s="8">
        <v>3.5403529349999996</v>
      </c>
      <c r="I13" s="8">
        <v>3.6159604</v>
      </c>
      <c r="J13" s="8">
        <v>3.758446384</v>
      </c>
      <c r="K13" s="8">
        <f t="shared" ref="K13:R13" si="5">K10*K12</f>
        <v>3.928130542</v>
      </c>
      <c r="L13" s="8">
        <f t="shared" si="5"/>
        <v>4.113296937</v>
      </c>
      <c r="M13" s="8">
        <f t="shared" si="5"/>
        <v>4.332995385</v>
      </c>
      <c r="N13" s="8">
        <f t="shared" si="5"/>
        <v>4.268985226</v>
      </c>
      <c r="O13" s="8">
        <f t="shared" si="5"/>
        <v>4.35436493</v>
      </c>
      <c r="P13" s="8">
        <f t="shared" si="5"/>
        <v>4.315687924</v>
      </c>
      <c r="Q13" s="8">
        <f t="shared" si="5"/>
        <v>4.222094692</v>
      </c>
      <c r="R13" s="8">
        <f t="shared" si="5"/>
        <v>4.424227475</v>
      </c>
    </row>
    <row r="14" ht="15.75" customHeight="1">
      <c r="A14" s="11">
        <v>0.3</v>
      </c>
      <c r="B14" s="2" t="s">
        <v>9</v>
      </c>
      <c r="C14" s="7">
        <v>1.78</v>
      </c>
      <c r="D14" s="7">
        <v>1.766</v>
      </c>
      <c r="E14" s="7">
        <v>1.397</v>
      </c>
      <c r="F14" s="7">
        <v>2.246</v>
      </c>
      <c r="G14" s="7">
        <v>2.546</v>
      </c>
      <c r="H14" s="8">
        <v>2.351362225</v>
      </c>
      <c r="I14" s="8">
        <v>2.4136535670000003</v>
      </c>
      <c r="J14" s="8">
        <v>2.530256288</v>
      </c>
      <c r="K14" s="8">
        <f t="shared" ref="K14:R14" si="6">K13*(1-$A$14)</f>
        <v>2.749691379</v>
      </c>
      <c r="L14" s="8">
        <f t="shared" si="6"/>
        <v>2.879307856</v>
      </c>
      <c r="M14" s="8">
        <f t="shared" si="6"/>
        <v>3.033096769</v>
      </c>
      <c r="N14" s="8">
        <f t="shared" si="6"/>
        <v>2.988289658</v>
      </c>
      <c r="O14" s="8">
        <f t="shared" si="6"/>
        <v>3.048055451</v>
      </c>
      <c r="P14" s="8">
        <f t="shared" si="6"/>
        <v>3.020981547</v>
      </c>
      <c r="Q14" s="8">
        <f t="shared" si="6"/>
        <v>2.955466284</v>
      </c>
      <c r="R14" s="8">
        <f t="shared" si="6"/>
        <v>3.096959233</v>
      </c>
    </row>
    <row r="15" ht="15.75" customHeight="1">
      <c r="A15" s="11">
        <v>0.97</v>
      </c>
      <c r="B15" s="2" t="s">
        <v>10</v>
      </c>
      <c r="H15" s="8">
        <f>C33</f>
        <v>0.954186155</v>
      </c>
      <c r="I15" s="8">
        <f t="shared" ref="I15:Q15" si="7">H15*$A$15</f>
        <v>0.9255605704</v>
      </c>
      <c r="J15" s="8">
        <f t="shared" si="7"/>
        <v>0.8977937532</v>
      </c>
      <c r="K15" s="8">
        <f t="shared" si="7"/>
        <v>0.8708599406</v>
      </c>
      <c r="L15" s="8">
        <f t="shared" si="7"/>
        <v>0.8447341424</v>
      </c>
      <c r="M15" s="8">
        <f t="shared" si="7"/>
        <v>0.8193921182</v>
      </c>
      <c r="N15" s="8">
        <f t="shared" si="7"/>
        <v>0.7948103546</v>
      </c>
      <c r="O15" s="8">
        <f t="shared" si="7"/>
        <v>0.770966044</v>
      </c>
      <c r="P15" s="8">
        <f t="shared" si="7"/>
        <v>0.7478370626</v>
      </c>
      <c r="Q15" s="8">
        <f t="shared" si="7"/>
        <v>0.7254019508</v>
      </c>
      <c r="R15" s="6" t="s">
        <v>6</v>
      </c>
    </row>
    <row r="16" ht="15.75" customHeight="1">
      <c r="B16" s="2" t="s">
        <v>11</v>
      </c>
      <c r="H16" s="8">
        <f t="shared" ref="H16:Q16" si="8">H14/H15</f>
        <v>2.464259424</v>
      </c>
      <c r="I16" s="8">
        <f t="shared" si="8"/>
        <v>2.607774839</v>
      </c>
      <c r="J16" s="8">
        <f t="shared" si="8"/>
        <v>2.818304626</v>
      </c>
      <c r="K16" s="8">
        <f t="shared" si="8"/>
        <v>3.157443868</v>
      </c>
      <c r="L16" s="8">
        <f t="shared" si="8"/>
        <v>3.408537327</v>
      </c>
      <c r="M16" s="8">
        <f t="shared" si="8"/>
        <v>3.701642598</v>
      </c>
      <c r="N16" s="8">
        <f t="shared" si="8"/>
        <v>3.759751796</v>
      </c>
      <c r="O16" s="8">
        <f t="shared" si="8"/>
        <v>3.953553435</v>
      </c>
      <c r="P16" s="8">
        <f t="shared" si="8"/>
        <v>4.039625338</v>
      </c>
      <c r="Q16" s="8">
        <f t="shared" si="8"/>
        <v>4.074246397</v>
      </c>
      <c r="R16" s="6" t="s">
        <v>6</v>
      </c>
    </row>
    <row r="17" ht="15.75" customHeight="1">
      <c r="F17" s="12" t="s">
        <v>12</v>
      </c>
      <c r="G17" s="13"/>
      <c r="H17" s="14">
        <f>H14/(1+$B$29)</f>
        <v>2.250278801</v>
      </c>
      <c r="I17" s="14">
        <f>I14/(1+$B$29)^2</f>
        <v>2.210591622</v>
      </c>
      <c r="J17" s="14">
        <f>J14/(1+$B$29)^3</f>
        <v>2.21776175</v>
      </c>
      <c r="K17" s="14">
        <f>K14/(1+$B$29)^4</f>
        <v>2.306487579</v>
      </c>
      <c r="L17" s="14">
        <f>L14/(1+$B$29)^5</f>
        <v>2.311383784</v>
      </c>
      <c r="M17" s="14">
        <f>M14/(1+$B$29)^6</f>
        <v>2.330166844</v>
      </c>
      <c r="N17" s="14">
        <f>N14/(1+$B$29)^7</f>
        <v>2.197051493</v>
      </c>
      <c r="O17" s="14">
        <f>O14/(1+$B$29)^8</f>
        <v>2.144653816</v>
      </c>
      <c r="P17" s="14">
        <f>P14/(1+$B$29)^9</f>
        <v>2.034225998</v>
      </c>
      <c r="Q17" s="14">
        <f>Q14/(1+$B$29)^10</f>
        <v>1.9045568</v>
      </c>
      <c r="R17" s="15">
        <f>(R14/(B29-R11))/(1+B29)^10</f>
        <v>57.15104802</v>
      </c>
    </row>
    <row r="18" ht="15.75" customHeight="1"/>
    <row r="19" ht="15.75" customHeight="1">
      <c r="A19" s="16" t="s">
        <v>13</v>
      </c>
      <c r="B19" s="17"/>
    </row>
    <row r="20" ht="15.75" customHeight="1">
      <c r="B20" s="18"/>
    </row>
    <row r="21" ht="15.75" customHeight="1">
      <c r="A21" s="2" t="s">
        <v>14</v>
      </c>
      <c r="B21" s="19">
        <v>0.02177</v>
      </c>
    </row>
    <row r="22" ht="15.75" customHeight="1">
      <c r="B22" s="18"/>
    </row>
    <row r="23" ht="15.75" customHeight="1">
      <c r="A23" s="2" t="s">
        <v>15</v>
      </c>
      <c r="B23" s="20">
        <f>(B25-B21)*B27</f>
        <v>0.0231504</v>
      </c>
    </row>
    <row r="24" ht="15.75" customHeight="1">
      <c r="B24" s="18"/>
    </row>
    <row r="25" ht="15.75" customHeight="1">
      <c r="A25" s="2" t="s">
        <v>16</v>
      </c>
      <c r="B25" s="20">
        <v>0.07</v>
      </c>
    </row>
    <row r="26" ht="15.75" customHeight="1">
      <c r="B26" s="18"/>
    </row>
    <row r="27" ht="15.75" customHeight="1">
      <c r="A27" s="2" t="s">
        <v>17</v>
      </c>
      <c r="B27" s="21">
        <v>0.48</v>
      </c>
    </row>
    <row r="28" ht="15.75" customHeight="1">
      <c r="B28" s="18"/>
    </row>
    <row r="29" ht="15.75" customHeight="1">
      <c r="A29" s="22" t="s">
        <v>18</v>
      </c>
      <c r="B29" s="23">
        <f>B21+(B25-B21)*B27</f>
        <v>0.0449204</v>
      </c>
    </row>
    <row r="30" ht="15.75" customHeight="1"/>
    <row r="31" ht="15.75" customHeight="1">
      <c r="A31" s="3"/>
      <c r="B31" s="3"/>
      <c r="C31" s="24">
        <v>45296.0</v>
      </c>
      <c r="D31" s="25" t="s">
        <v>19</v>
      </c>
    </row>
    <row r="32" ht="15.75" customHeight="1">
      <c r="A32" s="5" t="s">
        <v>20</v>
      </c>
      <c r="B32" s="5" t="s">
        <v>21</v>
      </c>
      <c r="C32" s="8">
        <f>C33*C34</f>
        <v>25.76302619</v>
      </c>
      <c r="D32" s="8">
        <f>SUM(H17:R17)</f>
        <v>79.0582065</v>
      </c>
    </row>
    <row r="33" ht="15.75" customHeight="1">
      <c r="A33" s="5"/>
      <c r="B33" s="5" t="s">
        <v>22</v>
      </c>
      <c r="C33" s="8">
        <f>0.954186155</f>
        <v>0.954186155</v>
      </c>
      <c r="D33" s="8">
        <f>C33</f>
        <v>0.954186155</v>
      </c>
    </row>
    <row r="34" ht="15.75" customHeight="1">
      <c r="A34" s="5"/>
      <c r="B34" s="5" t="s">
        <v>23</v>
      </c>
      <c r="C34" s="26">
        <v>27.0</v>
      </c>
      <c r="D34" s="8">
        <f>D32/D33</f>
        <v>82.85407003</v>
      </c>
    </row>
    <row r="35" ht="15.75" customHeight="1">
      <c r="A35" s="5"/>
      <c r="B35" s="5" t="s">
        <v>24</v>
      </c>
      <c r="C35" s="5"/>
      <c r="D35" s="11">
        <f>IF(C34/D34-1&gt;0,0,C34/D34-1)*-1</f>
        <v>0.6741258457</v>
      </c>
    </row>
    <row r="36" ht="15.75" customHeight="1">
      <c r="A36" s="5"/>
      <c r="B36" s="5" t="s">
        <v>25</v>
      </c>
      <c r="C36" s="5"/>
      <c r="D36" s="11">
        <f>IF(C34/D34-1&lt;0,0,C34/D34-1)</f>
        <v>0</v>
      </c>
    </row>
    <row r="37" ht="15.75" customHeight="1">
      <c r="A37" s="27"/>
      <c r="B37" s="27"/>
      <c r="C37" s="27"/>
      <c r="D37" s="27"/>
    </row>
    <row r="38" ht="15.75" customHeight="1">
      <c r="A38" s="28" t="s">
        <v>26</v>
      </c>
      <c r="B38" s="29"/>
      <c r="C38" s="29"/>
      <c r="D38" s="17"/>
    </row>
    <row r="39" ht="15.75" customHeight="1">
      <c r="A39" s="30"/>
      <c r="D39" s="18"/>
    </row>
    <row r="40" ht="15.75" customHeight="1">
      <c r="A40" s="30" t="str">
        <f>"KGV in "&amp;Q9&amp;":"</f>
        <v>KGV in 2032:</v>
      </c>
      <c r="D40" s="21">
        <v>12.0</v>
      </c>
    </row>
    <row r="41" ht="15.75" customHeight="1">
      <c r="A41" s="30"/>
      <c r="D41" s="18"/>
    </row>
    <row r="42" ht="15.75" customHeight="1">
      <c r="A42" s="30" t="str">
        <f>"Aktienkurs in "&amp;Q9&amp;":"</f>
        <v>Aktienkurs in 2032:</v>
      </c>
      <c r="D42" s="21">
        <f>Q16*D40</f>
        <v>48.89095676</v>
      </c>
    </row>
    <row r="43" ht="15.75" customHeight="1">
      <c r="A43" s="30"/>
      <c r="D43" s="18"/>
    </row>
    <row r="44" ht="15.75" customHeight="1">
      <c r="A44" s="30" t="s">
        <v>27</v>
      </c>
      <c r="D44" s="20">
        <v>0.5</v>
      </c>
    </row>
    <row r="45" ht="15.75" customHeight="1">
      <c r="A45" s="30"/>
      <c r="D45" s="18"/>
    </row>
    <row r="46" ht="15.75" customHeight="1">
      <c r="A46" s="30" t="s">
        <v>28</v>
      </c>
      <c r="D46" s="21">
        <f>D44*SUM(H16:Q16)</f>
        <v>16.99256982</v>
      </c>
    </row>
    <row r="47" ht="15.75" customHeight="1">
      <c r="A47" s="30"/>
      <c r="D47" s="18"/>
    </row>
    <row r="48" ht="15.75" customHeight="1">
      <c r="A48" s="30" t="s">
        <v>29</v>
      </c>
      <c r="D48" s="20">
        <v>0.15</v>
      </c>
    </row>
    <row r="49" ht="15.75" customHeight="1">
      <c r="A49" s="30"/>
      <c r="D49" s="18"/>
    </row>
    <row r="50" ht="15.75" customHeight="1">
      <c r="A50" s="30" t="str">
        <f>"Gesamtwert "&amp;Q9</f>
        <v>Gesamtwert 2032</v>
      </c>
      <c r="D50" s="21">
        <f>D42+D46*(1-D48)</f>
        <v>63.33464111</v>
      </c>
    </row>
    <row r="51" ht="15.75" customHeight="1">
      <c r="A51" s="30"/>
      <c r="D51" s="18"/>
    </row>
    <row r="52" ht="15.75" customHeight="1">
      <c r="A52" s="30" t="str">
        <f>"Steigerung bis "&amp;Q9</f>
        <v>Steigerung bis 2032</v>
      </c>
      <c r="D52" s="20">
        <f>D50/C34-1</f>
        <v>1.345727449</v>
      </c>
    </row>
    <row r="53" ht="15.75" customHeight="1">
      <c r="A53" s="30"/>
      <c r="D53" s="18"/>
    </row>
    <row r="54" ht="15.75" customHeight="1">
      <c r="A54" s="31" t="str">
        <f>"Renditeerwartung bis "&amp;Q9&amp;" pro Jahr"</f>
        <v>Renditeerwartung bis 2032 pro Jahr</v>
      </c>
      <c r="B54" s="32"/>
      <c r="C54" s="32"/>
      <c r="D54" s="33">
        <f>(D50/C34)^(1/10)-1</f>
        <v>0.08899968712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8" width="10.33"/>
    <col customWidth="1" min="19" max="26" width="8.33"/>
  </cols>
  <sheetData>
    <row r="1" ht="15.75" customHeight="1"/>
    <row r="2" ht="15.75" customHeight="1">
      <c r="B2" s="1" t="s">
        <v>0</v>
      </c>
    </row>
    <row r="3" ht="15.75" customHeight="1"/>
    <row r="4" ht="15.75" customHeight="1">
      <c r="B4" s="2" t="str">
        <f>Optimistisch!B4</f>
        <v>Annahmen für Ahold Delhaize</v>
      </c>
    </row>
    <row r="5" ht="15.75" customHeight="1"/>
    <row r="6" ht="15.75" customHeight="1">
      <c r="B6" s="2" t="str">
        <f>Optimistisch!B6</f>
        <v>Alle Angaben in Mrd.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ht="15.75" customHeight="1">
      <c r="C9" s="2">
        <f>Optimistisch!C9</f>
        <v>2018</v>
      </c>
      <c r="D9" s="2">
        <f t="shared" ref="D9:Q9" si="1">C9+1</f>
        <v>2019</v>
      </c>
      <c r="E9" s="2">
        <f t="shared" si="1"/>
        <v>2020</v>
      </c>
      <c r="F9" s="2">
        <f t="shared" si="1"/>
        <v>2021</v>
      </c>
      <c r="G9" s="2">
        <f t="shared" si="1"/>
        <v>2022</v>
      </c>
      <c r="H9" s="5">
        <f t="shared" si="1"/>
        <v>2023</v>
      </c>
      <c r="I9" s="5">
        <f t="shared" si="1"/>
        <v>2024</v>
      </c>
      <c r="J9" s="5">
        <f t="shared" si="1"/>
        <v>2025</v>
      </c>
      <c r="K9" s="5">
        <f t="shared" si="1"/>
        <v>2026</v>
      </c>
      <c r="L9" s="5">
        <f t="shared" si="1"/>
        <v>2027</v>
      </c>
      <c r="M9" s="5">
        <f t="shared" si="1"/>
        <v>2028</v>
      </c>
      <c r="N9" s="5">
        <f t="shared" si="1"/>
        <v>2029</v>
      </c>
      <c r="O9" s="5">
        <f t="shared" si="1"/>
        <v>2030</v>
      </c>
      <c r="P9" s="5">
        <f t="shared" si="1"/>
        <v>2031</v>
      </c>
      <c r="Q9" s="5">
        <f t="shared" si="1"/>
        <v>2032</v>
      </c>
      <c r="R9" s="6" t="str">
        <f>Q9+1&amp;"ff."</f>
        <v>2033ff.</v>
      </c>
    </row>
    <row r="10" ht="15.75" customHeight="1">
      <c r="B10" s="2" t="s">
        <v>4</v>
      </c>
      <c r="C10" s="7">
        <f>Optimistisch!C10</f>
        <v>62.791</v>
      </c>
      <c r="D10" s="7">
        <f>Optimistisch!D10</f>
        <v>66.26</v>
      </c>
      <c r="E10" s="7">
        <f>Optimistisch!E10</f>
        <v>74.736</v>
      </c>
      <c r="F10" s="7">
        <f>Optimistisch!F10</f>
        <v>75.601</v>
      </c>
      <c r="G10" s="7">
        <f>Optimistisch!G10</f>
        <v>86.984</v>
      </c>
      <c r="H10" s="8">
        <f>Optimistisch!H10</f>
        <v>88.73065</v>
      </c>
      <c r="I10" s="8">
        <f>Optimistisch!I10</f>
        <v>90.39901</v>
      </c>
      <c r="J10" s="8">
        <f>Optimistisch!J10</f>
        <v>92.34512</v>
      </c>
      <c r="K10" s="8">
        <f t="shared" ref="K10:R10" si="2">J10*(1+K11)</f>
        <v>93.7302968</v>
      </c>
      <c r="L10" s="8">
        <f t="shared" si="2"/>
        <v>94.90192551</v>
      </c>
      <c r="M10" s="8">
        <f t="shared" si="2"/>
        <v>95.85094477</v>
      </c>
      <c r="N10" s="8">
        <f t="shared" si="2"/>
        <v>97.04908157</v>
      </c>
      <c r="O10" s="8">
        <f t="shared" si="2"/>
        <v>98.26219509</v>
      </c>
      <c r="P10" s="8">
        <f t="shared" si="2"/>
        <v>99.73612802</v>
      </c>
      <c r="Q10" s="8">
        <f t="shared" si="2"/>
        <v>100.9828296</v>
      </c>
      <c r="R10" s="8">
        <f t="shared" si="2"/>
        <v>101.4877438</v>
      </c>
    </row>
    <row r="11" ht="15.75" customHeight="1">
      <c r="B11" s="2" t="s">
        <v>5</v>
      </c>
      <c r="C11" s="9" t="s">
        <v>6</v>
      </c>
      <c r="D11" s="10">
        <f t="shared" ref="D11:J11" si="3">D10/C10-1</f>
        <v>0.05524677103</v>
      </c>
      <c r="E11" s="10">
        <f t="shared" si="3"/>
        <v>0.1279203139</v>
      </c>
      <c r="F11" s="10">
        <f t="shared" si="3"/>
        <v>0.01157407407</v>
      </c>
      <c r="G11" s="10">
        <f t="shared" si="3"/>
        <v>0.1505667914</v>
      </c>
      <c r="H11" s="11">
        <f t="shared" si="3"/>
        <v>0.02008012968</v>
      </c>
      <c r="I11" s="11">
        <f t="shared" si="3"/>
        <v>0.01880252201</v>
      </c>
      <c r="J11" s="11">
        <f t="shared" si="3"/>
        <v>0.02152800125</v>
      </c>
      <c r="K11" s="11">
        <v>0.015</v>
      </c>
      <c r="L11" s="11">
        <v>0.0125</v>
      </c>
      <c r="M11" s="11">
        <v>0.01</v>
      </c>
      <c r="N11" s="11">
        <v>0.0125</v>
      </c>
      <c r="O11" s="11">
        <v>0.0125</v>
      </c>
      <c r="P11" s="11">
        <v>0.015</v>
      </c>
      <c r="Q11" s="11">
        <v>0.0125</v>
      </c>
      <c r="R11" s="11">
        <v>0.005</v>
      </c>
    </row>
    <row r="12" ht="15.75" customHeight="1">
      <c r="B12" s="2" t="s">
        <v>7</v>
      </c>
      <c r="C12" s="10">
        <f t="shared" ref="C12:J12" si="4">C13/C10</f>
        <v>0.04177350257</v>
      </c>
      <c r="D12" s="10">
        <f t="shared" si="4"/>
        <v>0.04017506791</v>
      </c>
      <c r="E12" s="10">
        <f t="shared" si="4"/>
        <v>0.02931652751</v>
      </c>
      <c r="F12" s="10">
        <f t="shared" si="4"/>
        <v>0.04391476303</v>
      </c>
      <c r="G12" s="10">
        <f t="shared" si="4"/>
        <v>0.04228363837</v>
      </c>
      <c r="H12" s="11">
        <f t="shared" si="4"/>
        <v>0.0399</v>
      </c>
      <c r="I12" s="11">
        <f t="shared" si="4"/>
        <v>0.04</v>
      </c>
      <c r="J12" s="11">
        <f t="shared" si="4"/>
        <v>0.0407</v>
      </c>
      <c r="K12" s="11">
        <v>0.04</v>
      </c>
      <c r="L12" s="11">
        <v>0.0375</v>
      </c>
      <c r="M12" s="11">
        <v>0.035</v>
      </c>
      <c r="N12" s="11">
        <v>0.035</v>
      </c>
      <c r="O12" s="11">
        <v>0.0415</v>
      </c>
      <c r="P12" s="11">
        <v>0.0375</v>
      </c>
      <c r="Q12" s="11">
        <v>0.035</v>
      </c>
      <c r="R12" s="11">
        <v>0.035</v>
      </c>
    </row>
    <row r="13" ht="15.75" customHeight="1">
      <c r="B13" s="2" t="s">
        <v>8</v>
      </c>
      <c r="C13" s="7">
        <f>Optimistisch!C13</f>
        <v>2.623</v>
      </c>
      <c r="D13" s="7">
        <f>Optimistisch!D13</f>
        <v>2.662</v>
      </c>
      <c r="E13" s="7">
        <f>Optimistisch!E13</f>
        <v>2.191</v>
      </c>
      <c r="F13" s="7">
        <f>Optimistisch!F13</f>
        <v>3.32</v>
      </c>
      <c r="G13" s="7">
        <f>Optimistisch!G13</f>
        <v>3.678</v>
      </c>
      <c r="H13" s="8">
        <f>Optimistisch!H13</f>
        <v>3.540352935</v>
      </c>
      <c r="I13" s="8">
        <f>Optimistisch!I13</f>
        <v>3.6159604</v>
      </c>
      <c r="J13" s="8">
        <f>Optimistisch!J13</f>
        <v>3.758446384</v>
      </c>
      <c r="K13" s="8">
        <f t="shared" ref="K13:R13" si="5">K10*K12</f>
        <v>3.749211872</v>
      </c>
      <c r="L13" s="8">
        <f t="shared" si="5"/>
        <v>3.558822207</v>
      </c>
      <c r="M13" s="8">
        <f t="shared" si="5"/>
        <v>3.354783067</v>
      </c>
      <c r="N13" s="8">
        <f t="shared" si="5"/>
        <v>3.396717855</v>
      </c>
      <c r="O13" s="8">
        <f t="shared" si="5"/>
        <v>4.077881096</v>
      </c>
      <c r="P13" s="8">
        <f t="shared" si="5"/>
        <v>3.740104801</v>
      </c>
      <c r="Q13" s="8">
        <f t="shared" si="5"/>
        <v>3.534399037</v>
      </c>
      <c r="R13" s="8">
        <f t="shared" si="5"/>
        <v>3.552071032</v>
      </c>
    </row>
    <row r="14" ht="15.75" customHeight="1">
      <c r="A14" s="11">
        <v>0.35</v>
      </c>
      <c r="B14" s="2" t="s">
        <v>9</v>
      </c>
      <c r="C14" s="7">
        <f>Optimistisch!C14</f>
        <v>1.78</v>
      </c>
      <c r="D14" s="7">
        <f>Optimistisch!D14</f>
        <v>1.766</v>
      </c>
      <c r="E14" s="7">
        <f>Optimistisch!E14</f>
        <v>1.397</v>
      </c>
      <c r="F14" s="7">
        <f>Optimistisch!F14</f>
        <v>2.246</v>
      </c>
      <c r="G14" s="7">
        <f>Optimistisch!G14</f>
        <v>2.546</v>
      </c>
      <c r="H14" s="8">
        <f>Optimistisch!H14</f>
        <v>2.351362225</v>
      </c>
      <c r="I14" s="8">
        <f>Optimistisch!I14</f>
        <v>2.413653567</v>
      </c>
      <c r="J14" s="8">
        <f>Optimistisch!J14</f>
        <v>2.530256288</v>
      </c>
      <c r="K14" s="8">
        <f t="shared" ref="K14:R14" si="6">K13*(1-$A$14)</f>
        <v>2.436987717</v>
      </c>
      <c r="L14" s="8">
        <f t="shared" si="6"/>
        <v>2.313234434</v>
      </c>
      <c r="M14" s="8">
        <f t="shared" si="6"/>
        <v>2.180608993</v>
      </c>
      <c r="N14" s="8">
        <f t="shared" si="6"/>
        <v>2.207866606</v>
      </c>
      <c r="O14" s="8">
        <f t="shared" si="6"/>
        <v>2.650622713</v>
      </c>
      <c r="P14" s="8">
        <f t="shared" si="6"/>
        <v>2.431068121</v>
      </c>
      <c r="Q14" s="8">
        <f t="shared" si="6"/>
        <v>2.297359374</v>
      </c>
      <c r="R14" s="8">
        <f t="shared" si="6"/>
        <v>2.308846171</v>
      </c>
    </row>
    <row r="15" ht="15.75" customHeight="1">
      <c r="A15" s="11">
        <v>0.985</v>
      </c>
      <c r="B15" s="2" t="s">
        <v>10</v>
      </c>
      <c r="H15" s="8">
        <f>C33</f>
        <v>0.954186155</v>
      </c>
      <c r="I15" s="8">
        <f t="shared" ref="I15:Q15" si="7">H15*$A$15</f>
        <v>0.9398733627</v>
      </c>
      <c r="J15" s="8">
        <f t="shared" si="7"/>
        <v>0.9257752622</v>
      </c>
      <c r="K15" s="8">
        <f t="shared" si="7"/>
        <v>0.9118886333</v>
      </c>
      <c r="L15" s="8">
        <f t="shared" si="7"/>
        <v>0.8982103038</v>
      </c>
      <c r="M15" s="8">
        <f t="shared" si="7"/>
        <v>0.8847371492</v>
      </c>
      <c r="N15" s="8">
        <f t="shared" si="7"/>
        <v>0.871466092</v>
      </c>
      <c r="O15" s="8">
        <f t="shared" si="7"/>
        <v>0.8583941006</v>
      </c>
      <c r="P15" s="8">
        <f t="shared" si="7"/>
        <v>0.8455181891</v>
      </c>
      <c r="Q15" s="8">
        <f t="shared" si="7"/>
        <v>0.8328354163</v>
      </c>
      <c r="R15" s="6" t="s">
        <v>6</v>
      </c>
    </row>
    <row r="16" ht="15.75" customHeight="1">
      <c r="B16" s="2" t="s">
        <v>11</v>
      </c>
      <c r="H16" s="8">
        <f t="shared" ref="H16:Q16" si="8">H14/H15</f>
        <v>2.464259424</v>
      </c>
      <c r="I16" s="8">
        <f t="shared" si="8"/>
        <v>2.568062531</v>
      </c>
      <c r="J16" s="8">
        <f t="shared" si="8"/>
        <v>2.733121516</v>
      </c>
      <c r="K16" s="8">
        <f t="shared" si="8"/>
        <v>2.672461996</v>
      </c>
      <c r="L16" s="8">
        <f t="shared" si="8"/>
        <v>2.575381761</v>
      </c>
      <c r="M16" s="8">
        <f t="shared" si="8"/>
        <v>2.464696995</v>
      </c>
      <c r="N16" s="8">
        <f t="shared" si="8"/>
        <v>2.533508333</v>
      </c>
      <c r="O16" s="8">
        <f t="shared" si="8"/>
        <v>3.087885519</v>
      </c>
      <c r="P16" s="8">
        <f t="shared" si="8"/>
        <v>2.875240476</v>
      </c>
      <c r="Q16" s="8">
        <f t="shared" si="8"/>
        <v>2.758479441</v>
      </c>
      <c r="R16" s="6" t="s">
        <v>6</v>
      </c>
    </row>
    <row r="17" ht="15.75" customHeight="1">
      <c r="F17" s="12" t="s">
        <v>12</v>
      </c>
      <c r="G17" s="13"/>
      <c r="H17" s="14">
        <f>H14/(1+$B$29)</f>
        <v>2.250278801</v>
      </c>
      <c r="I17" s="14">
        <f>I14/(1+$B$29)^2</f>
        <v>2.210591622</v>
      </c>
      <c r="J17" s="14">
        <f>J14/(1+$B$29)^3</f>
        <v>2.21776175</v>
      </c>
      <c r="K17" s="14">
        <f>K14/(1+$B$29)^4</f>
        <v>2.044186464</v>
      </c>
      <c r="L17" s="14">
        <f>L14/(1+$B$29)^5</f>
        <v>1.856964531</v>
      </c>
      <c r="M17" s="14">
        <f>M14/(1+$B$29)^6</f>
        <v>1.675245851</v>
      </c>
      <c r="N17" s="14">
        <f>N14/(1+$B$29)^7</f>
        <v>1.623268551</v>
      </c>
      <c r="O17" s="14">
        <f>O14/(1+$B$29)^8</f>
        <v>1.865014665</v>
      </c>
      <c r="P17" s="14">
        <f>P14/(1+$B$29)^9</f>
        <v>1.636998405</v>
      </c>
      <c r="Q17" s="14">
        <f>Q14/(1+$B$29)^10</f>
        <v>1.48046061</v>
      </c>
      <c r="R17" s="15">
        <f>(R14/(B29-R11))/(1+B29)^10</f>
        <v>37.2707416</v>
      </c>
    </row>
    <row r="18" ht="15.75" customHeight="1"/>
    <row r="19" ht="15.75" customHeight="1">
      <c r="A19" s="16" t="s">
        <v>13</v>
      </c>
      <c r="B19" s="17"/>
    </row>
    <row r="20" ht="15.75" customHeight="1">
      <c r="B20" s="18"/>
    </row>
    <row r="21" ht="15.75" customHeight="1">
      <c r="A21" s="2" t="s">
        <v>14</v>
      </c>
      <c r="B21" s="20">
        <f>Optimistisch!B21</f>
        <v>0.02177</v>
      </c>
    </row>
    <row r="22" ht="15.75" customHeight="1">
      <c r="B22" s="18"/>
    </row>
    <row r="23" ht="15.75" customHeight="1">
      <c r="A23" s="2" t="s">
        <v>15</v>
      </c>
      <c r="B23" s="20">
        <f>(B25-B21)*B27</f>
        <v>0.0231504</v>
      </c>
    </row>
    <row r="24" ht="15.75" customHeight="1">
      <c r="B24" s="18"/>
    </row>
    <row r="25" ht="15.75" customHeight="1">
      <c r="A25" s="2" t="s">
        <v>16</v>
      </c>
      <c r="B25" s="20">
        <f>Optimistisch!B25</f>
        <v>0.07</v>
      </c>
    </row>
    <row r="26" ht="15.75" customHeight="1">
      <c r="B26" s="18"/>
    </row>
    <row r="27" ht="15.75" customHeight="1">
      <c r="A27" s="2" t="s">
        <v>17</v>
      </c>
      <c r="B27" s="21">
        <f>Optimistisch!B27</f>
        <v>0.48</v>
      </c>
    </row>
    <row r="28" ht="15.75" customHeight="1">
      <c r="B28" s="18"/>
    </row>
    <row r="29" ht="15.75" customHeight="1">
      <c r="A29" s="22" t="s">
        <v>18</v>
      </c>
      <c r="B29" s="23">
        <f>B21+(B25-B21)*B27</f>
        <v>0.0449204</v>
      </c>
    </row>
    <row r="30" ht="15.75" customHeight="1"/>
    <row r="31" ht="15.75" customHeight="1">
      <c r="A31" s="3"/>
      <c r="B31" s="3"/>
      <c r="C31" s="24">
        <f>Optimistisch!C31</f>
        <v>45296</v>
      </c>
      <c r="D31" s="25" t="s">
        <v>19</v>
      </c>
    </row>
    <row r="32" ht="15.75" customHeight="1">
      <c r="A32" s="5" t="s">
        <v>20</v>
      </c>
      <c r="B32" s="5" t="s">
        <v>21</v>
      </c>
      <c r="C32" s="8">
        <f>C33*C34</f>
        <v>25.76302619</v>
      </c>
      <c r="D32" s="8">
        <f>SUM(H17:R17)</f>
        <v>56.13151285</v>
      </c>
    </row>
    <row r="33" ht="15.75" customHeight="1">
      <c r="A33" s="5"/>
      <c r="B33" s="5" t="s">
        <v>22</v>
      </c>
      <c r="C33" s="8">
        <f>Optimistisch!C33</f>
        <v>0.954186155</v>
      </c>
      <c r="D33" s="8">
        <f>C33</f>
        <v>0.954186155</v>
      </c>
    </row>
    <row r="34" ht="15.75" customHeight="1">
      <c r="A34" s="5"/>
      <c r="B34" s="5" t="s">
        <v>23</v>
      </c>
      <c r="C34" s="8">
        <f>Optimistisch!C34</f>
        <v>27</v>
      </c>
      <c r="D34" s="8">
        <f>D32/D33</f>
        <v>58.8265849</v>
      </c>
    </row>
    <row r="35" ht="15.75" customHeight="1">
      <c r="A35" s="5"/>
      <c r="B35" s="5" t="s">
        <v>24</v>
      </c>
      <c r="C35" s="5"/>
      <c r="D35" s="11">
        <f>IF(C34/D34-1&gt;0,0,C34/D34-1)*-1</f>
        <v>0.5410238407</v>
      </c>
    </row>
    <row r="36" ht="15.75" customHeight="1">
      <c r="A36" s="5"/>
      <c r="B36" s="5" t="s">
        <v>25</v>
      </c>
      <c r="C36" s="5"/>
      <c r="D36" s="11">
        <f>IF(C34/D34-1&lt;0,0,C34/D34-1)</f>
        <v>0</v>
      </c>
    </row>
    <row r="37" ht="15.75" customHeight="1">
      <c r="A37" s="27"/>
      <c r="B37" s="27"/>
      <c r="C37" s="27"/>
      <c r="D37" s="27"/>
    </row>
    <row r="38" ht="15.75" customHeight="1">
      <c r="A38" s="28" t="s">
        <v>26</v>
      </c>
      <c r="B38" s="29"/>
      <c r="C38" s="29"/>
      <c r="D38" s="17"/>
    </row>
    <row r="39" ht="15.75" customHeight="1">
      <c r="A39" s="30"/>
      <c r="D39" s="18"/>
    </row>
    <row r="40" ht="15.75" customHeight="1">
      <c r="A40" s="30" t="str">
        <f>"KGV in "&amp;Q9&amp;":"</f>
        <v>KGV in 2032:</v>
      </c>
      <c r="D40" s="21">
        <v>9.0</v>
      </c>
    </row>
    <row r="41" ht="15.75" customHeight="1">
      <c r="A41" s="30"/>
      <c r="D41" s="18"/>
    </row>
    <row r="42" ht="15.75" customHeight="1">
      <c r="A42" s="30" t="str">
        <f>"Aktienkurs in "&amp;Q9&amp;":"</f>
        <v>Aktienkurs in 2032:</v>
      </c>
      <c r="D42" s="21">
        <f>Q16*D40</f>
        <v>24.82631497</v>
      </c>
    </row>
    <row r="43" ht="15.75" customHeight="1">
      <c r="A43" s="30"/>
      <c r="D43" s="18"/>
    </row>
    <row r="44" ht="15.75" customHeight="1">
      <c r="A44" s="30" t="s">
        <v>27</v>
      </c>
      <c r="D44" s="20">
        <v>0.4</v>
      </c>
    </row>
    <row r="45" ht="15.75" customHeight="1">
      <c r="A45" s="30"/>
      <c r="D45" s="18"/>
    </row>
    <row r="46" ht="15.75" customHeight="1">
      <c r="A46" s="30" t="s">
        <v>28</v>
      </c>
      <c r="D46" s="21">
        <f>D44*SUM(H16:Q16)</f>
        <v>10.6932392</v>
      </c>
    </row>
    <row r="47" ht="15.75" customHeight="1">
      <c r="A47" s="30"/>
      <c r="D47" s="18"/>
    </row>
    <row r="48" ht="15.75" customHeight="1">
      <c r="A48" s="30" t="s">
        <v>29</v>
      </c>
      <c r="D48" s="20">
        <f>Optimistisch!D48</f>
        <v>0.15</v>
      </c>
    </row>
    <row r="49" ht="15.75" customHeight="1">
      <c r="A49" s="30"/>
      <c r="D49" s="18"/>
    </row>
    <row r="50" ht="15.75" customHeight="1">
      <c r="A50" s="30" t="str">
        <f>"Gesamtwert "&amp;Q9</f>
        <v>Gesamtwert 2032</v>
      </c>
      <c r="D50" s="21">
        <f>D42+D46*(1-D48)</f>
        <v>33.91556829</v>
      </c>
    </row>
    <row r="51" ht="15.75" customHeight="1">
      <c r="A51" s="30"/>
      <c r="D51" s="18"/>
    </row>
    <row r="52" ht="15.75" customHeight="1">
      <c r="A52" s="30" t="str">
        <f>"Steigerung bis "&amp;Q9</f>
        <v>Steigerung bis 2032</v>
      </c>
      <c r="D52" s="20">
        <f>D50/C34-1</f>
        <v>0.2561321589</v>
      </c>
    </row>
    <row r="53" ht="15.75" customHeight="1">
      <c r="A53" s="30"/>
      <c r="D53" s="18"/>
    </row>
    <row r="54" ht="15.75" customHeight="1">
      <c r="A54" s="31" t="str">
        <f>"Renditeerwartung bis "&amp;Q9&amp;" pro Jahr"</f>
        <v>Renditeerwartung bis 2032 pro Jahr</v>
      </c>
      <c r="B54" s="32"/>
      <c r="C54" s="32"/>
      <c r="D54" s="33">
        <f>(D50/C34)^(1/10)-1</f>
        <v>0.02306572115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8" width="10.33"/>
    <col customWidth="1" min="19" max="26" width="8.33"/>
  </cols>
  <sheetData>
    <row r="1" ht="15.75" customHeight="1"/>
    <row r="2" ht="15.75" customHeight="1">
      <c r="B2" s="1" t="s">
        <v>0</v>
      </c>
    </row>
    <row r="3" ht="15.75" customHeight="1"/>
    <row r="4" ht="15.75" customHeight="1">
      <c r="B4" s="2" t="str">
        <f>Optimistisch!B4</f>
        <v>Annahmen für Ahold Delhaize</v>
      </c>
    </row>
    <row r="5" ht="15.75" customHeight="1"/>
    <row r="6" ht="15.75" customHeight="1">
      <c r="B6" s="2" t="str">
        <f>Optimistisch!B6</f>
        <v>Alle Angaben in Mrd.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ht="15.75" customHeight="1">
      <c r="C9" s="2">
        <f>Optimistisch!C9</f>
        <v>2018</v>
      </c>
      <c r="D9" s="2">
        <f t="shared" ref="D9:Q9" si="1">C9+1</f>
        <v>2019</v>
      </c>
      <c r="E9" s="2">
        <f t="shared" si="1"/>
        <v>2020</v>
      </c>
      <c r="F9" s="2">
        <f t="shared" si="1"/>
        <v>2021</v>
      </c>
      <c r="G9" s="2">
        <f t="shared" si="1"/>
        <v>2022</v>
      </c>
      <c r="H9" s="5">
        <f t="shared" si="1"/>
        <v>2023</v>
      </c>
      <c r="I9" s="5">
        <f t="shared" si="1"/>
        <v>2024</v>
      </c>
      <c r="J9" s="5">
        <f t="shared" si="1"/>
        <v>2025</v>
      </c>
      <c r="K9" s="5">
        <f t="shared" si="1"/>
        <v>2026</v>
      </c>
      <c r="L9" s="5">
        <f t="shared" si="1"/>
        <v>2027</v>
      </c>
      <c r="M9" s="5">
        <f t="shared" si="1"/>
        <v>2028</v>
      </c>
      <c r="N9" s="5">
        <f t="shared" si="1"/>
        <v>2029</v>
      </c>
      <c r="O9" s="5">
        <f t="shared" si="1"/>
        <v>2030</v>
      </c>
      <c r="P9" s="5">
        <f t="shared" si="1"/>
        <v>2031</v>
      </c>
      <c r="Q9" s="5">
        <f t="shared" si="1"/>
        <v>2032</v>
      </c>
      <c r="R9" s="6" t="str">
        <f>Q9+1&amp;"ff."</f>
        <v>2033ff.</v>
      </c>
    </row>
    <row r="10" ht="15.75" customHeight="1">
      <c r="B10" s="2" t="s">
        <v>4</v>
      </c>
      <c r="C10" s="7">
        <f>Optimistisch!C10</f>
        <v>62.791</v>
      </c>
      <c r="D10" s="7">
        <f>Optimistisch!D10</f>
        <v>66.26</v>
      </c>
      <c r="E10" s="7">
        <f>Optimistisch!E10</f>
        <v>74.736</v>
      </c>
      <c r="F10" s="7">
        <f>Optimistisch!F10</f>
        <v>75.601</v>
      </c>
      <c r="G10" s="7">
        <f>Optimistisch!G10</f>
        <v>86.984</v>
      </c>
      <c r="H10" s="8">
        <f t="shared" ref="H10:R10" si="2">G10*(1+H11)</f>
        <v>78.2856</v>
      </c>
      <c r="I10" s="8">
        <f t="shared" si="2"/>
        <v>70.45704</v>
      </c>
      <c r="J10" s="8">
        <f t="shared" si="2"/>
        <v>63.411336</v>
      </c>
      <c r="K10" s="8">
        <f t="shared" si="2"/>
        <v>57.0702024</v>
      </c>
      <c r="L10" s="8">
        <f t="shared" si="2"/>
        <v>51.36318216</v>
      </c>
      <c r="M10" s="8">
        <f t="shared" si="2"/>
        <v>46.22686394</v>
      </c>
      <c r="N10" s="8">
        <f t="shared" si="2"/>
        <v>41.60417755</v>
      </c>
      <c r="O10" s="8">
        <f t="shared" si="2"/>
        <v>37.44375979</v>
      </c>
      <c r="P10" s="8">
        <f t="shared" si="2"/>
        <v>33.69938382</v>
      </c>
      <c r="Q10" s="8">
        <f t="shared" si="2"/>
        <v>30.32944543</v>
      </c>
      <c r="R10" s="8">
        <f t="shared" si="2"/>
        <v>30.32944543</v>
      </c>
    </row>
    <row r="11" ht="15.75" customHeight="1">
      <c r="B11" s="2" t="s">
        <v>5</v>
      </c>
      <c r="C11" s="9" t="s">
        <v>6</v>
      </c>
      <c r="D11" s="10">
        <f t="shared" ref="D11:G11" si="3">D10/C10-1</f>
        <v>0.05524677103</v>
      </c>
      <c r="E11" s="10">
        <f t="shared" si="3"/>
        <v>0.1279203139</v>
      </c>
      <c r="F11" s="10">
        <f t="shared" si="3"/>
        <v>0.01157407407</v>
      </c>
      <c r="G11" s="10">
        <f t="shared" si="3"/>
        <v>0.1505667914</v>
      </c>
      <c r="H11" s="11">
        <v>-0.1</v>
      </c>
      <c r="I11" s="11">
        <f t="shared" ref="I11:Q11" si="4">$H$11</f>
        <v>-0.1</v>
      </c>
      <c r="J11" s="11">
        <f t="shared" si="4"/>
        <v>-0.1</v>
      </c>
      <c r="K11" s="11">
        <f t="shared" si="4"/>
        <v>-0.1</v>
      </c>
      <c r="L11" s="11">
        <f t="shared" si="4"/>
        <v>-0.1</v>
      </c>
      <c r="M11" s="11">
        <f t="shared" si="4"/>
        <v>-0.1</v>
      </c>
      <c r="N11" s="11">
        <f t="shared" si="4"/>
        <v>-0.1</v>
      </c>
      <c r="O11" s="11">
        <f t="shared" si="4"/>
        <v>-0.1</v>
      </c>
      <c r="P11" s="11">
        <f t="shared" si="4"/>
        <v>-0.1</v>
      </c>
      <c r="Q11" s="11">
        <f t="shared" si="4"/>
        <v>-0.1</v>
      </c>
      <c r="R11" s="11">
        <v>0.0</v>
      </c>
    </row>
    <row r="12" ht="15.75" customHeight="1">
      <c r="B12" s="2" t="s">
        <v>7</v>
      </c>
      <c r="C12" s="10">
        <f t="shared" ref="C12:G12" si="5">C13/C10</f>
        <v>0.04177350257</v>
      </c>
      <c r="D12" s="10">
        <f t="shared" si="5"/>
        <v>0.04017506791</v>
      </c>
      <c r="E12" s="10">
        <f t="shared" si="5"/>
        <v>0.02931652751</v>
      </c>
      <c r="F12" s="10">
        <f t="shared" si="5"/>
        <v>0.04391476303</v>
      </c>
      <c r="G12" s="10">
        <f t="shared" si="5"/>
        <v>0.04228363837</v>
      </c>
      <c r="H12" s="11">
        <f>Optimistisch!H12</f>
        <v>0.0399</v>
      </c>
      <c r="I12" s="11">
        <f>Optimistisch!I12</f>
        <v>0.04</v>
      </c>
      <c r="J12" s="11">
        <f>Optimistisch!J12</f>
        <v>0.0407</v>
      </c>
      <c r="K12" s="11">
        <f>Optimistisch!K12</f>
        <v>0.0415</v>
      </c>
      <c r="L12" s="11">
        <f>Optimistisch!L12</f>
        <v>0.0425</v>
      </c>
      <c r="M12" s="11">
        <f>Optimistisch!M12</f>
        <v>0.044</v>
      </c>
      <c r="N12" s="11">
        <f>Optimistisch!N12</f>
        <v>0.0425</v>
      </c>
      <c r="O12" s="11">
        <f>Optimistisch!O12</f>
        <v>0.0425</v>
      </c>
      <c r="P12" s="11">
        <f>Optimistisch!P12</f>
        <v>0.0415</v>
      </c>
      <c r="Q12" s="11">
        <f>Optimistisch!Q12</f>
        <v>0.04</v>
      </c>
      <c r="R12" s="11">
        <f>Optimistisch!R12</f>
        <v>0.0415</v>
      </c>
    </row>
    <row r="13" ht="15.75" customHeight="1">
      <c r="B13" s="2" t="s">
        <v>8</v>
      </c>
      <c r="C13" s="7">
        <f>Optimistisch!C13</f>
        <v>2.623</v>
      </c>
      <c r="D13" s="7">
        <f>Optimistisch!D13</f>
        <v>2.662</v>
      </c>
      <c r="E13" s="7">
        <f>Optimistisch!E13</f>
        <v>2.191</v>
      </c>
      <c r="F13" s="7">
        <f>Optimistisch!F13</f>
        <v>3.32</v>
      </c>
      <c r="G13" s="7">
        <f>Optimistisch!G13</f>
        <v>3.678</v>
      </c>
      <c r="H13" s="8">
        <f t="shared" ref="H13:R13" si="6">H10*H12</f>
        <v>3.12359544</v>
      </c>
      <c r="I13" s="8">
        <f t="shared" si="6"/>
        <v>2.8182816</v>
      </c>
      <c r="J13" s="8">
        <f t="shared" si="6"/>
        <v>2.580841375</v>
      </c>
      <c r="K13" s="8">
        <f t="shared" si="6"/>
        <v>2.3684134</v>
      </c>
      <c r="L13" s="8">
        <f t="shared" si="6"/>
        <v>2.182935242</v>
      </c>
      <c r="M13" s="8">
        <f t="shared" si="6"/>
        <v>2.033982014</v>
      </c>
      <c r="N13" s="8">
        <f t="shared" si="6"/>
        <v>1.768177546</v>
      </c>
      <c r="O13" s="8">
        <f t="shared" si="6"/>
        <v>1.591359791</v>
      </c>
      <c r="P13" s="8">
        <f t="shared" si="6"/>
        <v>1.398524428</v>
      </c>
      <c r="Q13" s="8">
        <f t="shared" si="6"/>
        <v>1.213177817</v>
      </c>
      <c r="R13" s="8">
        <f t="shared" si="6"/>
        <v>1.258671985</v>
      </c>
    </row>
    <row r="14" ht="15.75" customHeight="1">
      <c r="A14" s="11">
        <f>Optimistisch!A14</f>
        <v>0.3</v>
      </c>
      <c r="B14" s="2" t="s">
        <v>9</v>
      </c>
      <c r="C14" s="7">
        <f>Optimistisch!C14</f>
        <v>1.78</v>
      </c>
      <c r="D14" s="7">
        <f>Optimistisch!D14</f>
        <v>1.766</v>
      </c>
      <c r="E14" s="7">
        <f>Optimistisch!E14</f>
        <v>1.397</v>
      </c>
      <c r="F14" s="7">
        <f>Optimistisch!F14</f>
        <v>2.246</v>
      </c>
      <c r="G14" s="7">
        <f>Optimistisch!G14</f>
        <v>2.546</v>
      </c>
      <c r="H14" s="8">
        <f t="shared" ref="H14:R14" si="7">H13*(1-$A$14)</f>
        <v>2.186516808</v>
      </c>
      <c r="I14" s="8">
        <f t="shared" si="7"/>
        <v>1.97279712</v>
      </c>
      <c r="J14" s="8">
        <f t="shared" si="7"/>
        <v>1.806588963</v>
      </c>
      <c r="K14" s="8">
        <f t="shared" si="7"/>
        <v>1.65788938</v>
      </c>
      <c r="L14" s="8">
        <f t="shared" si="7"/>
        <v>1.528054669</v>
      </c>
      <c r="M14" s="8">
        <f t="shared" si="7"/>
        <v>1.423787409</v>
      </c>
      <c r="N14" s="8">
        <f t="shared" si="7"/>
        <v>1.237724282</v>
      </c>
      <c r="O14" s="8">
        <f t="shared" si="7"/>
        <v>1.113951854</v>
      </c>
      <c r="P14" s="8">
        <f t="shared" si="7"/>
        <v>0.9789670998</v>
      </c>
      <c r="Q14" s="8">
        <f t="shared" si="7"/>
        <v>0.8492244721</v>
      </c>
      <c r="R14" s="8">
        <f t="shared" si="7"/>
        <v>0.8810703898</v>
      </c>
    </row>
    <row r="15" ht="15.75" customHeight="1">
      <c r="A15" s="11">
        <f>Optimistisch!A15</f>
        <v>0.97</v>
      </c>
      <c r="B15" s="2" t="s">
        <v>10</v>
      </c>
      <c r="H15" s="8">
        <f>C33</f>
        <v>0.954186155</v>
      </c>
      <c r="I15" s="8">
        <f t="shared" ref="I15:Q15" si="8">H15*$A$15</f>
        <v>0.9255605704</v>
      </c>
      <c r="J15" s="8">
        <f t="shared" si="8"/>
        <v>0.8977937532</v>
      </c>
      <c r="K15" s="8">
        <f t="shared" si="8"/>
        <v>0.8708599406</v>
      </c>
      <c r="L15" s="8">
        <f t="shared" si="8"/>
        <v>0.8447341424</v>
      </c>
      <c r="M15" s="8">
        <f t="shared" si="8"/>
        <v>0.8193921182</v>
      </c>
      <c r="N15" s="8">
        <f t="shared" si="8"/>
        <v>0.7948103546</v>
      </c>
      <c r="O15" s="8">
        <f t="shared" si="8"/>
        <v>0.770966044</v>
      </c>
      <c r="P15" s="8">
        <f t="shared" si="8"/>
        <v>0.7478370626</v>
      </c>
      <c r="Q15" s="8">
        <f t="shared" si="8"/>
        <v>0.7254019508</v>
      </c>
      <c r="R15" s="6" t="s">
        <v>6</v>
      </c>
    </row>
    <row r="16" ht="15.75" customHeight="1">
      <c r="B16" s="2" t="s">
        <v>11</v>
      </c>
      <c r="H16" s="8">
        <f t="shared" ref="H16:Q16" si="9">H14/H15</f>
        <v>2.291499197</v>
      </c>
      <c r="I16" s="8">
        <f t="shared" si="9"/>
        <v>2.13146193</v>
      </c>
      <c r="J16" s="8">
        <f t="shared" si="9"/>
        <v>2.012253879</v>
      </c>
      <c r="K16" s="8">
        <f t="shared" si="9"/>
        <v>1.90373825</v>
      </c>
      <c r="L16" s="8">
        <f t="shared" si="9"/>
        <v>1.808917851</v>
      </c>
      <c r="M16" s="8">
        <f t="shared" si="9"/>
        <v>1.737614236</v>
      </c>
      <c r="N16" s="8">
        <f t="shared" si="9"/>
        <v>1.55725737</v>
      </c>
      <c r="O16" s="8">
        <f t="shared" si="9"/>
        <v>1.444877972</v>
      </c>
      <c r="P16" s="8">
        <f t="shared" si="9"/>
        <v>1.3090647</v>
      </c>
      <c r="Q16" s="8">
        <f t="shared" si="9"/>
        <v>1.170695049</v>
      </c>
      <c r="R16" s="6" t="s">
        <v>6</v>
      </c>
    </row>
    <row r="17" ht="15.75" customHeight="1">
      <c r="F17" s="12" t="s">
        <v>12</v>
      </c>
      <c r="G17" s="13"/>
      <c r="H17" s="14">
        <f>H14/(1+$B$29)</f>
        <v>2.092519974</v>
      </c>
      <c r="I17" s="14">
        <f>I14/(1+$B$29)^2</f>
        <v>1.80682466</v>
      </c>
      <c r="J17" s="14">
        <f>J14/(1+$B$29)^3</f>
        <v>1.583469595</v>
      </c>
      <c r="K17" s="14">
        <f>K14/(1+$B$29)^4</f>
        <v>1.390665618</v>
      </c>
      <c r="L17" s="14">
        <f>L14/(1+$B$29)^5</f>
        <v>1.226656183</v>
      </c>
      <c r="M17" s="14">
        <f>M14/(1+$B$29)^6</f>
        <v>1.093820101</v>
      </c>
      <c r="N17" s="14">
        <f>N14/(1+$B$29)^7</f>
        <v>0.9100001317</v>
      </c>
      <c r="O17" s="14">
        <f>O14/(1+$B$29)^8</f>
        <v>0.783791874</v>
      </c>
      <c r="P17" s="14">
        <f>P14/(1+$B$29)^9</f>
        <v>0.6592030752</v>
      </c>
      <c r="Q17" s="14">
        <f>Q14/(1+$B$29)^10</f>
        <v>0.5472558601</v>
      </c>
      <c r="R17" s="15">
        <f>(R14/(B29-R11))/(1+B29)^10</f>
        <v>12.63964602</v>
      </c>
    </row>
    <row r="18" ht="15.75" customHeight="1"/>
    <row r="19" ht="15.75" customHeight="1">
      <c r="A19" s="16" t="s">
        <v>13</v>
      </c>
      <c r="B19" s="17"/>
    </row>
    <row r="20" ht="15.75" customHeight="1">
      <c r="B20" s="18"/>
    </row>
    <row r="21" ht="15.75" customHeight="1">
      <c r="A21" s="2" t="s">
        <v>14</v>
      </c>
      <c r="B21" s="20">
        <f>Optimistisch!B21</f>
        <v>0.02177</v>
      </c>
    </row>
    <row r="22" ht="15.75" customHeight="1">
      <c r="B22" s="18"/>
    </row>
    <row r="23" ht="15.75" customHeight="1">
      <c r="A23" s="2" t="s">
        <v>15</v>
      </c>
      <c r="B23" s="20">
        <f>(B25-B21)*B27</f>
        <v>0.0231504</v>
      </c>
    </row>
    <row r="24" ht="15.75" customHeight="1">
      <c r="B24" s="18"/>
    </row>
    <row r="25" ht="15.75" customHeight="1">
      <c r="A25" s="2" t="s">
        <v>16</v>
      </c>
      <c r="B25" s="20">
        <f>Optimistisch!B25</f>
        <v>0.07</v>
      </c>
    </row>
    <row r="26" ht="15.75" customHeight="1">
      <c r="B26" s="18"/>
    </row>
    <row r="27" ht="15.75" customHeight="1">
      <c r="A27" s="2" t="s">
        <v>17</v>
      </c>
      <c r="B27" s="21">
        <f>Optimistisch!B27</f>
        <v>0.48</v>
      </c>
    </row>
    <row r="28" ht="15.75" customHeight="1">
      <c r="B28" s="18"/>
    </row>
    <row r="29" ht="15.75" customHeight="1">
      <c r="A29" s="22" t="s">
        <v>18</v>
      </c>
      <c r="B29" s="23">
        <f>B21+(B25-B21)*B27</f>
        <v>0.0449204</v>
      </c>
    </row>
    <row r="30" ht="15.75" customHeight="1"/>
    <row r="31" ht="15.75" customHeight="1">
      <c r="A31" s="3"/>
      <c r="B31" s="3"/>
      <c r="C31" s="24">
        <f>Optimistisch!C31</f>
        <v>45296</v>
      </c>
      <c r="D31" s="25" t="s">
        <v>19</v>
      </c>
    </row>
    <row r="32" ht="15.75" customHeight="1">
      <c r="A32" s="5" t="s">
        <v>20</v>
      </c>
      <c r="B32" s="5" t="s">
        <v>21</v>
      </c>
      <c r="C32" s="8">
        <f>C33*C34</f>
        <v>25.76302619</v>
      </c>
      <c r="D32" s="8">
        <f>SUM(H17:R17)</f>
        <v>24.73385309</v>
      </c>
    </row>
    <row r="33" ht="15.75" customHeight="1">
      <c r="A33" s="5"/>
      <c r="B33" s="5" t="s">
        <v>22</v>
      </c>
      <c r="C33" s="8">
        <f>Optimistisch!C33</f>
        <v>0.954186155</v>
      </c>
      <c r="D33" s="8">
        <f>C33</f>
        <v>0.954186155</v>
      </c>
    </row>
    <row r="34" ht="15.75" customHeight="1">
      <c r="A34" s="5"/>
      <c r="B34" s="5" t="s">
        <v>23</v>
      </c>
      <c r="C34" s="8">
        <f>Optimistisch!C34</f>
        <v>27</v>
      </c>
      <c r="D34" s="8">
        <f>D32/D33</f>
        <v>25.92141267</v>
      </c>
    </row>
    <row r="35" ht="15.75" customHeight="1">
      <c r="A35" s="5"/>
      <c r="B35" s="5" t="s">
        <v>24</v>
      </c>
      <c r="C35" s="5"/>
      <c r="D35" s="11">
        <f>IF(C34/D34-1&gt;0,0,C34/D34-1)*-1</f>
        <v>0</v>
      </c>
    </row>
    <row r="36" ht="15.75" customHeight="1">
      <c r="A36" s="5"/>
      <c r="B36" s="5" t="s">
        <v>25</v>
      </c>
      <c r="C36" s="5"/>
      <c r="D36" s="11">
        <f>IF(C34/D34-1&lt;0,0,C34/D34-1)</f>
        <v>0.04160989777</v>
      </c>
    </row>
    <row r="37" ht="15.75" customHeight="1">
      <c r="A37" s="27"/>
      <c r="B37" s="27"/>
      <c r="C37" s="27"/>
      <c r="D37" s="27"/>
    </row>
    <row r="38" ht="15.75" customHeight="1">
      <c r="A38" s="28" t="s">
        <v>26</v>
      </c>
      <c r="B38" s="29"/>
      <c r="C38" s="29"/>
      <c r="D38" s="17"/>
    </row>
    <row r="39" ht="15.75" customHeight="1">
      <c r="A39" s="30"/>
      <c r="D39" s="18"/>
    </row>
    <row r="40" ht="15.75" customHeight="1">
      <c r="A40" s="30" t="str">
        <f>"KGV in "&amp;Q9&amp;":"</f>
        <v>KGV in 2032:</v>
      </c>
      <c r="D40" s="21">
        <v>52.0</v>
      </c>
    </row>
    <row r="41" ht="15.75" customHeight="1">
      <c r="A41" s="30"/>
      <c r="D41" s="18"/>
    </row>
    <row r="42" ht="15.75" customHeight="1">
      <c r="A42" s="30" t="str">
        <f>"Aktienkurs in "&amp;Q9&amp;":"</f>
        <v>Aktienkurs in 2032:</v>
      </c>
      <c r="D42" s="21">
        <f>Q16*D40</f>
        <v>60.87614254</v>
      </c>
    </row>
    <row r="43" ht="15.75" customHeight="1">
      <c r="A43" s="30"/>
      <c r="D43" s="18"/>
    </row>
    <row r="44" ht="15.75" customHeight="1">
      <c r="A44" s="30" t="s">
        <v>27</v>
      </c>
      <c r="D44" s="20">
        <f>Optimistisch!D44</f>
        <v>0.5</v>
      </c>
    </row>
    <row r="45" ht="15.75" customHeight="1">
      <c r="A45" s="30"/>
      <c r="D45" s="18"/>
    </row>
    <row r="46" ht="15.75" customHeight="1">
      <c r="A46" s="30" t="s">
        <v>28</v>
      </c>
      <c r="D46" s="21">
        <f>D44*SUM(H16:Q16)</f>
        <v>8.683690217</v>
      </c>
    </row>
    <row r="47" ht="15.75" customHeight="1">
      <c r="A47" s="30"/>
      <c r="D47" s="18"/>
    </row>
    <row r="48" ht="15.75" customHeight="1">
      <c r="A48" s="30" t="s">
        <v>29</v>
      </c>
      <c r="D48" s="20">
        <f>Optimistisch!D48</f>
        <v>0.15</v>
      </c>
    </row>
    <row r="49" ht="15.75" customHeight="1">
      <c r="A49" s="30"/>
      <c r="D49" s="18"/>
    </row>
    <row r="50" ht="15.75" customHeight="1">
      <c r="A50" s="30" t="str">
        <f>"Gesamtwert "&amp;Q9</f>
        <v>Gesamtwert 2032</v>
      </c>
      <c r="D50" s="21">
        <f>D42+D46*(1-D48)</f>
        <v>68.25727922</v>
      </c>
    </row>
    <row r="51" ht="15.75" customHeight="1">
      <c r="A51" s="30"/>
      <c r="D51" s="18"/>
    </row>
    <row r="52" ht="15.75" customHeight="1">
      <c r="A52" s="30" t="str">
        <f>"Steigerung bis "&amp;Q9</f>
        <v>Steigerung bis 2032</v>
      </c>
      <c r="D52" s="20">
        <f>D50/C34-1</f>
        <v>1.528047379</v>
      </c>
    </row>
    <row r="53" ht="15.75" customHeight="1">
      <c r="A53" s="30"/>
      <c r="D53" s="18"/>
    </row>
    <row r="54" ht="15.75" customHeight="1">
      <c r="A54" s="31" t="str">
        <f>"Renditeerwartung bis "&amp;Q9&amp;" pro Jahr"</f>
        <v>Renditeerwartung bis 2032 pro Jahr</v>
      </c>
      <c r="B54" s="32"/>
      <c r="C54" s="32"/>
      <c r="D54" s="33">
        <f>(D50/C34)^(1/10)-1</f>
        <v>0.09718161293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4" width="10.33"/>
    <col customWidth="1" hidden="1" min="15" max="18" width="10.33"/>
    <col customWidth="1" min="19" max="26" width="8.33"/>
  </cols>
  <sheetData>
    <row r="1" ht="15.75" customHeight="1"/>
    <row r="2" ht="15.75" customHeight="1">
      <c r="B2" s="1" t="s">
        <v>30</v>
      </c>
    </row>
    <row r="3" ht="15.75" customHeight="1"/>
    <row r="4" ht="15.75" customHeight="1">
      <c r="B4" s="2" t="str">
        <f>Optimistisch!B4</f>
        <v>Annahmen für Ahold Delhaize</v>
      </c>
    </row>
    <row r="5" ht="15.75" customHeight="1"/>
    <row r="6" ht="15.75" customHeight="1">
      <c r="B6" s="2" t="str">
        <f>Optimistisch!B6</f>
        <v>Alle Angaben in Mrd.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</row>
    <row r="9" ht="15.75" customHeight="1">
      <c r="C9" s="2">
        <f>Optimistisch!C9</f>
        <v>2018</v>
      </c>
      <c r="D9" s="2">
        <f t="shared" ref="D9:M9" si="1">C9+1</f>
        <v>2019</v>
      </c>
      <c r="E9" s="2">
        <f t="shared" si="1"/>
        <v>2020</v>
      </c>
      <c r="F9" s="2">
        <f t="shared" si="1"/>
        <v>2021</v>
      </c>
      <c r="G9" s="2">
        <f t="shared" si="1"/>
        <v>2022</v>
      </c>
      <c r="H9" s="5">
        <f t="shared" si="1"/>
        <v>2023</v>
      </c>
      <c r="I9" s="5">
        <f t="shared" si="1"/>
        <v>2024</v>
      </c>
      <c r="J9" s="5">
        <f t="shared" si="1"/>
        <v>2025</v>
      </c>
      <c r="K9" s="5">
        <f t="shared" si="1"/>
        <v>2026</v>
      </c>
      <c r="L9" s="5">
        <f t="shared" si="1"/>
        <v>2027</v>
      </c>
      <c r="M9" s="5">
        <f t="shared" si="1"/>
        <v>2028</v>
      </c>
      <c r="R9" s="9"/>
    </row>
    <row r="10" ht="15.75" customHeight="1">
      <c r="B10" s="2" t="s">
        <v>4</v>
      </c>
      <c r="C10" s="7">
        <f>Optimistisch!C10</f>
        <v>62.791</v>
      </c>
      <c r="D10" s="7">
        <f>Optimistisch!D10</f>
        <v>66.26</v>
      </c>
      <c r="E10" s="7">
        <f>Optimistisch!E10</f>
        <v>74.736</v>
      </c>
      <c r="F10" s="7">
        <f>Optimistisch!F10</f>
        <v>75.601</v>
      </c>
      <c r="G10" s="7">
        <f>Optimistisch!G10</f>
        <v>86.984</v>
      </c>
      <c r="H10" s="8">
        <f>Optimistisch!H10</f>
        <v>88.73065</v>
      </c>
      <c r="I10" s="8">
        <f>Optimistisch!I10</f>
        <v>90.39901</v>
      </c>
      <c r="J10" s="8">
        <f>Optimistisch!J10</f>
        <v>92.34512</v>
      </c>
      <c r="K10" s="8">
        <f>(Optimistisch!K10+Pessimistisch!K10)/2</f>
        <v>94.1920224</v>
      </c>
      <c r="L10" s="8">
        <f>(Optimistisch!L10+Pessimistisch!L10)/2</f>
        <v>95.84269142</v>
      </c>
      <c r="M10" s="8">
        <f>(Optimistisch!M10+Pessimistisch!M10)/2</f>
        <v>97.1640563</v>
      </c>
      <c r="N10" s="7"/>
      <c r="O10" s="7"/>
      <c r="P10" s="7"/>
      <c r="Q10" s="7"/>
      <c r="R10" s="7"/>
    </row>
    <row r="11" ht="15.75" customHeight="1">
      <c r="B11" s="2" t="s">
        <v>31</v>
      </c>
      <c r="C11" s="10">
        <f t="shared" ref="C11:G11" si="2">C12/C10</f>
        <v>0.03447946362</v>
      </c>
      <c r="D11" s="10">
        <f t="shared" si="2"/>
        <v>0.02781466948</v>
      </c>
      <c r="E11" s="10">
        <f t="shared" si="2"/>
        <v>0.02942357097</v>
      </c>
      <c r="F11" s="10">
        <f t="shared" si="2"/>
        <v>0.02140183331</v>
      </c>
      <c r="G11" s="10">
        <f t="shared" si="2"/>
        <v>0.02515405132</v>
      </c>
      <c r="H11" s="11">
        <v>0.0274</v>
      </c>
      <c r="I11" s="11">
        <v>0.0219</v>
      </c>
      <c r="J11" s="11">
        <v>0.022</v>
      </c>
      <c r="K11" s="11">
        <v>0.027</v>
      </c>
      <c r="L11" s="11">
        <v>0.025</v>
      </c>
      <c r="M11" s="11">
        <v>0.0225</v>
      </c>
      <c r="N11" s="10"/>
      <c r="O11" s="10"/>
      <c r="P11" s="10"/>
      <c r="Q11" s="10"/>
      <c r="R11" s="10"/>
    </row>
    <row r="12" ht="15.75" customHeight="1">
      <c r="B12" s="2" t="s">
        <v>32</v>
      </c>
      <c r="C12" s="7">
        <v>2.165</v>
      </c>
      <c r="D12" s="7">
        <v>1.843</v>
      </c>
      <c r="E12" s="7">
        <v>2.199</v>
      </c>
      <c r="F12" s="7">
        <v>1.618</v>
      </c>
      <c r="G12" s="7">
        <v>2.188</v>
      </c>
      <c r="H12" s="8">
        <f t="shared" ref="H12:M12" si="3">H10*H11</f>
        <v>2.43121981</v>
      </c>
      <c r="I12" s="8">
        <f t="shared" si="3"/>
        <v>1.979738319</v>
      </c>
      <c r="J12" s="8">
        <f t="shared" si="3"/>
        <v>2.03159264</v>
      </c>
      <c r="K12" s="8">
        <f t="shared" si="3"/>
        <v>2.543184605</v>
      </c>
      <c r="L12" s="8">
        <f t="shared" si="3"/>
        <v>2.396067286</v>
      </c>
      <c r="M12" s="8">
        <f t="shared" si="3"/>
        <v>2.186191267</v>
      </c>
      <c r="N12" s="7"/>
      <c r="O12" s="7"/>
      <c r="P12" s="7"/>
      <c r="Q12" s="7"/>
      <c r="R12" s="7"/>
    </row>
    <row r="13" ht="15.75" customHeight="1">
      <c r="F13" s="12" t="s">
        <v>33</v>
      </c>
      <c r="G13" s="13"/>
      <c r="H13" s="14">
        <f>H12/(1+$B$37)</f>
        <v>2.355506483</v>
      </c>
      <c r="I13" s="14">
        <f>I12/(1+$B$37)^2</f>
        <v>1.858351854</v>
      </c>
      <c r="J13" s="14">
        <f>J12/(1+$B$37)^3</f>
        <v>1.847637912</v>
      </c>
      <c r="K13" s="14">
        <f>K12/(1+$B$37)^4</f>
        <v>2.240877924</v>
      </c>
      <c r="L13" s="14">
        <f>L12/(1+$B$37)^5</f>
        <v>2.045499605</v>
      </c>
      <c r="M13" s="15">
        <f>(M12/(B37-B39))/(1+B37)^5</f>
        <v>84.2848923</v>
      </c>
      <c r="N13" s="7"/>
      <c r="O13" s="7"/>
      <c r="P13" s="7"/>
      <c r="Q13" s="7"/>
      <c r="R13" s="7"/>
    </row>
    <row r="14" ht="15.75" customHeight="1"/>
    <row r="15" ht="15.75" customHeight="1">
      <c r="A15" s="16" t="s">
        <v>13</v>
      </c>
      <c r="B15" s="17"/>
    </row>
    <row r="16" ht="15.75" customHeight="1">
      <c r="B16" s="18"/>
    </row>
    <row r="17" ht="15.75" customHeight="1">
      <c r="A17" s="2" t="s">
        <v>14</v>
      </c>
      <c r="B17" s="20">
        <f>Optimistisch!B21</f>
        <v>0.02177</v>
      </c>
    </row>
    <row r="18" ht="15.75" customHeight="1">
      <c r="B18" s="18"/>
    </row>
    <row r="19" ht="15.75" customHeight="1">
      <c r="A19" s="2" t="s">
        <v>15</v>
      </c>
      <c r="B19" s="20">
        <f>(B21-B17)*B23</f>
        <v>0.0231504</v>
      </c>
    </row>
    <row r="20" ht="15.75" customHeight="1">
      <c r="B20" s="18"/>
    </row>
    <row r="21" ht="15.75" customHeight="1">
      <c r="A21" s="2" t="s">
        <v>16</v>
      </c>
      <c r="B21" s="20">
        <f>Optimistisch!B25</f>
        <v>0.07</v>
      </c>
    </row>
    <row r="22" ht="15.75" customHeight="1">
      <c r="B22" s="18"/>
    </row>
    <row r="23" ht="15.75" customHeight="1">
      <c r="A23" s="2" t="s">
        <v>17</v>
      </c>
      <c r="B23" s="21">
        <f>Optimistisch!B27</f>
        <v>0.48</v>
      </c>
    </row>
    <row r="24" ht="15.75" customHeight="1">
      <c r="B24" s="18"/>
    </row>
    <row r="25" ht="15.75" customHeight="1">
      <c r="A25" s="22" t="s">
        <v>18</v>
      </c>
      <c r="B25" s="23">
        <f>B17+(B21-B17)*B23</f>
        <v>0.0449204</v>
      </c>
    </row>
    <row r="26" ht="15.75" customHeight="1"/>
    <row r="27" ht="15.75" customHeight="1">
      <c r="A27" s="28" t="s">
        <v>34</v>
      </c>
      <c r="B27" s="17"/>
    </row>
    <row r="28" ht="15.75" customHeight="1">
      <c r="A28" s="30"/>
      <c r="B28" s="18"/>
    </row>
    <row r="29" ht="15.75" customHeight="1">
      <c r="A29" s="30" t="s">
        <v>35</v>
      </c>
      <c r="B29" s="21">
        <f>C42</f>
        <v>25.76302619</v>
      </c>
    </row>
    <row r="30" ht="15.75" customHeight="1">
      <c r="A30" s="30"/>
      <c r="B30" s="18"/>
    </row>
    <row r="31" ht="15.75" customHeight="1">
      <c r="A31" s="30" t="s">
        <v>36</v>
      </c>
      <c r="B31" s="21">
        <v>15.183</v>
      </c>
    </row>
    <row r="32" ht="15.75" customHeight="1">
      <c r="A32" s="30"/>
      <c r="B32" s="18"/>
    </row>
    <row r="33" ht="15.75" customHeight="1">
      <c r="A33" s="30" t="s">
        <v>37</v>
      </c>
      <c r="B33" s="20">
        <v>0.0141</v>
      </c>
    </row>
    <row r="34" ht="15.75" customHeight="1">
      <c r="A34" s="30"/>
      <c r="B34" s="18"/>
    </row>
    <row r="35" ht="15.75" customHeight="1">
      <c r="A35" s="30" t="s">
        <v>38</v>
      </c>
      <c r="B35" s="20">
        <v>0.258</v>
      </c>
    </row>
    <row r="36" ht="15.75" customHeight="1">
      <c r="A36" s="30"/>
      <c r="B36" s="18"/>
    </row>
    <row r="37" ht="15.75" customHeight="1">
      <c r="A37" s="34" t="s">
        <v>39</v>
      </c>
      <c r="B37" s="23">
        <f>B25*(B29/(B29+B31))+B33*(B31/(B29+B31))*(1-B35)</f>
        <v>0.03214311978</v>
      </c>
    </row>
    <row r="38" ht="15.75" customHeight="1">
      <c r="B38" s="10"/>
    </row>
    <row r="39" ht="15.75" customHeight="1">
      <c r="A39" s="2" t="s">
        <v>40</v>
      </c>
      <c r="B39" s="10">
        <v>0.01</v>
      </c>
    </row>
    <row r="40" ht="15.75" customHeight="1"/>
    <row r="41" ht="15.75" customHeight="1">
      <c r="A41" s="3"/>
      <c r="B41" s="3"/>
      <c r="C41" s="24">
        <f>Optimistisch!C31</f>
        <v>45296</v>
      </c>
      <c r="D41" s="25" t="s">
        <v>19</v>
      </c>
    </row>
    <row r="42" ht="15.75" customHeight="1">
      <c r="A42" s="5" t="s">
        <v>20</v>
      </c>
      <c r="B42" s="5" t="s">
        <v>21</v>
      </c>
      <c r="C42" s="8">
        <f>C43*C44</f>
        <v>25.76302619</v>
      </c>
      <c r="D42" s="8">
        <f>SUM(H13:M13)-B31</f>
        <v>79.44976608</v>
      </c>
    </row>
    <row r="43" ht="15.75" customHeight="1">
      <c r="A43" s="5"/>
      <c r="B43" s="5" t="s">
        <v>22</v>
      </c>
      <c r="C43" s="8">
        <f>Optimistisch!C33</f>
        <v>0.954186155</v>
      </c>
      <c r="D43" s="8">
        <f>C43</f>
        <v>0.954186155</v>
      </c>
    </row>
    <row r="44" ht="15.75" customHeight="1">
      <c r="A44" s="5"/>
      <c r="B44" s="5" t="s">
        <v>23</v>
      </c>
      <c r="C44" s="8">
        <f>Optimistisch!C34</f>
        <v>27</v>
      </c>
      <c r="D44" s="8">
        <f>D42/D43</f>
        <v>83.26442976</v>
      </c>
    </row>
    <row r="45" ht="15.75" customHeight="1">
      <c r="A45" s="5"/>
      <c r="B45" s="5" t="s">
        <v>24</v>
      </c>
      <c r="C45" s="5"/>
      <c r="D45" s="11">
        <f>IF(C44/D44-1&gt;0,0,C44/D44-1)*-1</f>
        <v>0.6757318812</v>
      </c>
    </row>
    <row r="46" ht="15.75" customHeight="1">
      <c r="A46" s="5"/>
      <c r="B46" s="5" t="s">
        <v>25</v>
      </c>
      <c r="C46" s="5"/>
      <c r="D46" s="11">
        <f>IF(C44/D44-1&lt;0,0,C44/D44-1)</f>
        <v>0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2023-11-01T21:06:40Z</dcterms:created>
  <dc:creator>Tilman Reichel</dc:creator>
</cp:coreProperties>
</file>