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Op1KVlsZv+f/qKHsdQ2Gvn3mpc0BAtI6OAeLYdaj1pw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<sst xmlns="http://schemas.openxmlformats.org/spreadsheetml/2006/main" count="118" uniqueCount="41">
  <si>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</si>
  <si>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Apple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</si>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</sst>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0" fillId="0" fontId="2" numFmtId="0" xfId="0" applyAlignment="1" applyFont="1">
      <alignment readingOrder="0"/>
    </xf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5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6">
        <f t="shared" si="1"/>
        <v>2024</v>
      </c>
      <c r="I9" s="6">
        <f t="shared" si="1"/>
        <v>2025</v>
      </c>
      <c r="J9" s="6">
        <f t="shared" si="1"/>
        <v>2026</v>
      </c>
      <c r="K9" s="6">
        <f t="shared" si="1"/>
        <v>2027</v>
      </c>
      <c r="L9" s="6">
        <f t="shared" si="1"/>
        <v>2028</v>
      </c>
      <c r="M9" s="6">
        <f t="shared" si="1"/>
        <v>2029</v>
      </c>
      <c r="N9" s="6">
        <f t="shared" si="1"/>
        <v>2030</v>
      </c>
      <c r="O9" s="6">
        <f t="shared" si="1"/>
        <v>2031</v>
      </c>
      <c r="P9" s="6">
        <f t="shared" si="1"/>
        <v>2032</v>
      </c>
      <c r="Q9" s="6">
        <f t="shared" si="1"/>
        <v>2033</v>
      </c>
      <c r="R9" s="7" t="str">
        <f>Q9+1&amp;"ff."</f>
        <v>2034ff.</v>
      </c>
    </row>
    <row r="10" ht="15.75" customHeight="1">
      <c r="B10" s="2" t="s">
        <v>4</v>
      </c>
      <c r="C10" s="8">
        <v>260.174</v>
      </c>
      <c r="D10" s="8">
        <v>274.515</v>
      </c>
      <c r="E10" s="8">
        <v>365.817</v>
      </c>
      <c r="F10" s="8">
        <v>394.328</v>
      </c>
      <c r="G10" s="8">
        <v>383.285</v>
      </c>
      <c r="H10" s="9">
        <v>395.94737</v>
      </c>
      <c r="I10" s="9">
        <v>417.67312</v>
      </c>
      <c r="J10" s="9">
        <v>446.26553</v>
      </c>
      <c r="K10" s="9">
        <f t="shared" ref="K10:R10" si="2">J10*(1+K11)</f>
        <v>484.1981001</v>
      </c>
      <c r="L10" s="9">
        <f t="shared" si="2"/>
        <v>515.6709766</v>
      </c>
      <c r="M10" s="9">
        <f t="shared" si="2"/>
        <v>528.562751</v>
      </c>
      <c r="N10" s="9">
        <f t="shared" si="2"/>
        <v>557.6337023</v>
      </c>
      <c r="O10" s="9">
        <f t="shared" si="2"/>
        <v>585.5153874</v>
      </c>
      <c r="P10" s="9">
        <f t="shared" si="2"/>
        <v>611.8635798</v>
      </c>
      <c r="Q10" s="9">
        <f t="shared" si="2"/>
        <v>636.338123</v>
      </c>
      <c r="R10" s="9">
        <f t="shared" si="2"/>
        <v>649.0648855</v>
      </c>
    </row>
    <row r="11" ht="15.75" customHeight="1">
      <c r="B11" s="2" t="s">
        <v>5</v>
      </c>
      <c r="C11" s="10" t="s">
        <v>6</v>
      </c>
      <c r="D11" s="11">
        <f t="shared" ref="D11:J11" si="3">D10/C10-1</f>
        <v>0.05512080377</v>
      </c>
      <c r="E11" s="11">
        <f t="shared" si="3"/>
        <v>0.3325938473</v>
      </c>
      <c r="F11" s="11">
        <f t="shared" si="3"/>
        <v>0.07793787604</v>
      </c>
      <c r="G11" s="11">
        <f t="shared" si="3"/>
        <v>-0.0280046053</v>
      </c>
      <c r="H11" s="12">
        <f t="shared" si="3"/>
        <v>0.03303643503</v>
      </c>
      <c r="I11" s="12">
        <f t="shared" si="3"/>
        <v>0.05487029753</v>
      </c>
      <c r="J11" s="12">
        <f t="shared" si="3"/>
        <v>0.06845642832</v>
      </c>
      <c r="K11" s="12">
        <v>0.085</v>
      </c>
      <c r="L11" s="12">
        <v>0.065</v>
      </c>
      <c r="M11" s="12">
        <v>0.025</v>
      </c>
      <c r="N11" s="12">
        <v>0.055</v>
      </c>
      <c r="O11" s="12">
        <v>0.05</v>
      </c>
      <c r="P11" s="12">
        <v>0.045</v>
      </c>
      <c r="Q11" s="12">
        <v>0.04</v>
      </c>
      <c r="R11" s="12">
        <v>0.02</v>
      </c>
    </row>
    <row r="12" ht="15.75" customHeight="1">
      <c r="B12" s="2" t="s">
        <v>7</v>
      </c>
      <c r="C12" s="11">
        <f t="shared" ref="C12:J12" si="4">C13/C10</f>
        <v>0.2687816615</v>
      </c>
      <c r="D12" s="11">
        <f t="shared" si="4"/>
        <v>0.2414731435</v>
      </c>
      <c r="E12" s="11">
        <f t="shared" si="4"/>
        <v>0.2978237753</v>
      </c>
      <c r="F12" s="11">
        <f t="shared" si="4"/>
        <v>0.302887444</v>
      </c>
      <c r="G12" s="11">
        <f t="shared" si="4"/>
        <v>0.2982141227</v>
      </c>
      <c r="H12" s="12">
        <f t="shared" si="4"/>
        <v>0.3063</v>
      </c>
      <c r="I12" s="12">
        <f t="shared" si="4"/>
        <v>0.3075</v>
      </c>
      <c r="J12" s="12">
        <f t="shared" si="4"/>
        <v>0.3085</v>
      </c>
      <c r="K12" s="12">
        <v>0.31</v>
      </c>
      <c r="L12" s="12">
        <v>0.3125</v>
      </c>
      <c r="M12" s="12">
        <v>0.3175</v>
      </c>
      <c r="N12" s="12">
        <v>0.305</v>
      </c>
      <c r="O12" s="12">
        <v>0.325</v>
      </c>
      <c r="P12" s="12">
        <v>0.335</v>
      </c>
      <c r="Q12" s="12">
        <v>0.34</v>
      </c>
      <c r="R12" s="12">
        <v>0.35</v>
      </c>
    </row>
    <row r="13" ht="15.75" customHeight="1">
      <c r="B13" s="2" t="s">
        <v>8</v>
      </c>
      <c r="C13" s="8">
        <v>69.93</v>
      </c>
      <c r="D13" s="8">
        <v>66.288</v>
      </c>
      <c r="E13" s="8">
        <v>108.949</v>
      </c>
      <c r="F13" s="8">
        <v>119.437</v>
      </c>
      <c r="G13" s="8">
        <v>114.301</v>
      </c>
      <c r="H13" s="9">
        <v>121.278679431</v>
      </c>
      <c r="I13" s="9">
        <v>128.4344844</v>
      </c>
      <c r="J13" s="9">
        <v>137.672916005</v>
      </c>
      <c r="K13" s="9">
        <f t="shared" ref="K13:R13" si="5">K10*K12</f>
        <v>150.101411</v>
      </c>
      <c r="L13" s="9">
        <f t="shared" si="5"/>
        <v>161.1471802</v>
      </c>
      <c r="M13" s="9">
        <f t="shared" si="5"/>
        <v>167.8186734</v>
      </c>
      <c r="N13" s="9">
        <f t="shared" si="5"/>
        <v>170.0782792</v>
      </c>
      <c r="O13" s="9">
        <f t="shared" si="5"/>
        <v>190.2925009</v>
      </c>
      <c r="P13" s="9">
        <f t="shared" si="5"/>
        <v>204.9742992</v>
      </c>
      <c r="Q13" s="9">
        <f t="shared" si="5"/>
        <v>216.3549618</v>
      </c>
      <c r="R13" s="9">
        <f t="shared" si="5"/>
        <v>227.1727099</v>
      </c>
    </row>
    <row r="14" ht="15.75" customHeight="1">
      <c r="A14" s="12">
        <v>0.15</v>
      </c>
      <c r="B14" s="2" t="s">
        <v>9</v>
      </c>
      <c r="C14" s="8">
        <v>55.256</v>
      </c>
      <c r="D14" s="8">
        <v>57.411</v>
      </c>
      <c r="E14" s="8">
        <v>94.68</v>
      </c>
      <c r="F14" s="8">
        <v>99.803</v>
      </c>
      <c r="G14" s="8">
        <v>96.995</v>
      </c>
      <c r="H14" s="9">
        <v>101.08536356100001</v>
      </c>
      <c r="I14" s="9">
        <v>106.882551408</v>
      </c>
      <c r="J14" s="9">
        <v>114.779494316</v>
      </c>
      <c r="K14" s="9">
        <f t="shared" ref="K14:R14" si="6">K13*(1-$A$14)</f>
        <v>127.5861994</v>
      </c>
      <c r="L14" s="9">
        <f t="shared" si="6"/>
        <v>136.9751031</v>
      </c>
      <c r="M14" s="9">
        <f t="shared" si="6"/>
        <v>142.6458724</v>
      </c>
      <c r="N14" s="9">
        <f t="shared" si="6"/>
        <v>144.5665373</v>
      </c>
      <c r="O14" s="9">
        <f t="shared" si="6"/>
        <v>161.7486258</v>
      </c>
      <c r="P14" s="9">
        <f t="shared" si="6"/>
        <v>174.2281544</v>
      </c>
      <c r="Q14" s="9">
        <f t="shared" si="6"/>
        <v>183.9017175</v>
      </c>
      <c r="R14" s="9">
        <f t="shared" si="6"/>
        <v>193.0968034</v>
      </c>
    </row>
    <row r="15" ht="15.75" customHeight="1">
      <c r="A15" s="12">
        <v>0.965</v>
      </c>
      <c r="B15" s="2" t="s">
        <v>10</v>
      </c>
      <c r="H15" s="9">
        <f>C33</f>
        <v>15.552752</v>
      </c>
      <c r="I15" s="9">
        <f t="shared" ref="I15:Q15" si="7">H15*$A$15</f>
        <v>15.00840568</v>
      </c>
      <c r="J15" s="9">
        <f t="shared" si="7"/>
        <v>14.48311148</v>
      </c>
      <c r="K15" s="9">
        <f t="shared" si="7"/>
        <v>13.97620258</v>
      </c>
      <c r="L15" s="9">
        <f t="shared" si="7"/>
        <v>13.48703549</v>
      </c>
      <c r="M15" s="9">
        <f t="shared" si="7"/>
        <v>13.01498925</v>
      </c>
      <c r="N15" s="9">
        <f t="shared" si="7"/>
        <v>12.55946462</v>
      </c>
      <c r="O15" s="9">
        <f t="shared" si="7"/>
        <v>12.11988336</v>
      </c>
      <c r="P15" s="9">
        <f t="shared" si="7"/>
        <v>11.69568744</v>
      </c>
      <c r="Q15" s="9">
        <f t="shared" si="7"/>
        <v>11.28633838</v>
      </c>
      <c r="R15" s="7" t="s">
        <v>6</v>
      </c>
    </row>
    <row r="16" ht="15.75" customHeight="1">
      <c r="B16" s="2" t="s">
        <v>11</v>
      </c>
      <c r="H16" s="9">
        <f t="shared" ref="H16:Q16" si="8">H14/H15</f>
        <v>6.499516199</v>
      </c>
      <c r="I16" s="9">
        <f t="shared" si="8"/>
        <v>7.121512683</v>
      </c>
      <c r="J16" s="9">
        <f t="shared" si="8"/>
        <v>7.92505771</v>
      </c>
      <c r="K16" s="9">
        <f t="shared" si="8"/>
        <v>9.128817262</v>
      </c>
      <c r="L16" s="9">
        <f t="shared" si="8"/>
        <v>10.15605715</v>
      </c>
      <c r="M16" s="9">
        <f t="shared" si="8"/>
        <v>10.96012219</v>
      </c>
      <c r="N16" s="9">
        <f t="shared" si="8"/>
        <v>11.51056527</v>
      </c>
      <c r="O16" s="9">
        <f t="shared" si="8"/>
        <v>13.34572462</v>
      </c>
      <c r="P16" s="9">
        <f t="shared" si="8"/>
        <v>14.89678612</v>
      </c>
      <c r="Q16" s="9">
        <f t="shared" si="8"/>
        <v>16.29418783</v>
      </c>
      <c r="R16" s="7" t="s">
        <v>6</v>
      </c>
    </row>
    <row r="17" ht="15.75" customHeight="1">
      <c r="F17" s="13" t="s">
        <v>12</v>
      </c>
      <c r="G17" s="14"/>
      <c r="H17" s="15">
        <f>H14/(1+$B$29)</f>
        <v>94.27079197</v>
      </c>
      <c r="I17" s="15">
        <f>I14/(1+$B$29)^2</f>
        <v>92.95752857</v>
      </c>
      <c r="J17" s="15">
        <f>J14/(1+$B$29)^3</f>
        <v>93.09598292</v>
      </c>
      <c r="K17" s="15">
        <f>K14/(1+$B$29)^4</f>
        <v>96.50708842</v>
      </c>
      <c r="L17" s="15">
        <f>L14/(1+$B$29)^5</f>
        <v>96.62422579</v>
      </c>
      <c r="M17" s="15">
        <f>M14/(1+$B$29)^6</f>
        <v>93.84096792</v>
      </c>
      <c r="N17" s="15">
        <f>N14/(1+$B$29)^7</f>
        <v>88.69311871</v>
      </c>
      <c r="O17" s="15">
        <f>O14/(1+$B$29)^8</f>
        <v>92.5447156</v>
      </c>
      <c r="P17" s="15">
        <f>P14/(1+$B$29)^9</f>
        <v>92.96473589</v>
      </c>
      <c r="Q17" s="15">
        <f>Q14/(1+$B$29)^10</f>
        <v>91.51126679</v>
      </c>
      <c r="R17" s="16">
        <f>(R14/(B29-R11))/(1+B29)^10</f>
        <v>1837.674041</v>
      </c>
    </row>
    <row r="18" ht="15.75" customHeight="1"/>
    <row r="19" ht="15.75" customHeight="1">
      <c r="A19" s="17" t="s">
        <v>13</v>
      </c>
      <c r="B19" s="18"/>
    </row>
    <row r="20" ht="15.75" customHeight="1">
      <c r="B20" s="19"/>
    </row>
    <row r="21" ht="15.75" customHeight="1">
      <c r="A21" s="2" t="s">
        <v>14</v>
      </c>
      <c r="B21" s="20">
        <v>0.04141</v>
      </c>
    </row>
    <row r="22" ht="15.75" customHeight="1">
      <c r="B22" s="19"/>
    </row>
    <row r="23" ht="15.75" customHeight="1">
      <c r="A23" s="2" t="s">
        <v>15</v>
      </c>
      <c r="B23" s="21">
        <f>(B25-B21)*B27</f>
        <v>0.0308772</v>
      </c>
    </row>
    <row r="24" ht="15.75" customHeight="1">
      <c r="B24" s="19"/>
    </row>
    <row r="25" ht="15.75" customHeight="1">
      <c r="A25" s="2" t="s">
        <v>16</v>
      </c>
      <c r="B25" s="21">
        <v>0.07</v>
      </c>
    </row>
    <row r="26" ht="15.75" customHeight="1">
      <c r="B26" s="19"/>
    </row>
    <row r="27" ht="15.75" customHeight="1">
      <c r="A27" s="2" t="s">
        <v>17</v>
      </c>
      <c r="B27" s="22">
        <v>1.08</v>
      </c>
    </row>
    <row r="28" ht="15.75" customHeight="1">
      <c r="B28" s="19"/>
    </row>
    <row r="29" ht="15.75" customHeight="1">
      <c r="A29" s="23" t="s">
        <v>18</v>
      </c>
      <c r="B29" s="24">
        <f>B21+(B25-B21)*B27</f>
        <v>0.0722872</v>
      </c>
    </row>
    <row r="30" ht="15.75" customHeight="1"/>
    <row r="31" ht="15.75" customHeight="1">
      <c r="A31" s="3"/>
      <c r="B31" s="3"/>
      <c r="C31" s="25">
        <v>45317.0</v>
      </c>
      <c r="D31" s="26" t="s">
        <v>19</v>
      </c>
    </row>
    <row r="32" ht="15.75" customHeight="1">
      <c r="A32" s="6" t="s">
        <v>20</v>
      </c>
      <c r="B32" s="6" t="s">
        <v>21</v>
      </c>
      <c r="C32" s="9">
        <f>C33*C34</f>
        <v>2992.66054</v>
      </c>
      <c r="D32" s="9">
        <f>SUM(H17:R17)</f>
        <v>2770.684464</v>
      </c>
    </row>
    <row r="33" ht="15.75" customHeight="1">
      <c r="A33" s="6"/>
      <c r="B33" s="6" t="s">
        <v>22</v>
      </c>
      <c r="C33" s="9">
        <f>15.552752</f>
        <v>15.552752</v>
      </c>
      <c r="D33" s="9">
        <f>C33</f>
        <v>15.552752</v>
      </c>
    </row>
    <row r="34" ht="15.75" customHeight="1">
      <c r="A34" s="6"/>
      <c r="B34" s="6" t="s">
        <v>23</v>
      </c>
      <c r="C34" s="27">
        <v>192.42</v>
      </c>
      <c r="D34" s="9">
        <f>D32/D33</f>
        <v>178.1475371</v>
      </c>
    </row>
    <row r="35" ht="15.75" customHeight="1">
      <c r="A35" s="6"/>
      <c r="B35" s="6" t="s">
        <v>24</v>
      </c>
      <c r="C35" s="6"/>
      <c r="D35" s="12">
        <f>IF(C34/D34-1&gt;0,0,C34/D34-1)*-1</f>
        <v>0</v>
      </c>
    </row>
    <row r="36" ht="15.75" customHeight="1">
      <c r="A36" s="6"/>
      <c r="B36" s="6" t="s">
        <v>25</v>
      </c>
      <c r="C36" s="6"/>
      <c r="D36" s="12">
        <f>IF(C34/D34-1&lt;0,0,C34/D34-1)</f>
        <v>0.08011597096</v>
      </c>
    </row>
    <row r="37" ht="15.75" customHeight="1">
      <c r="A37" s="28"/>
      <c r="B37" s="28"/>
      <c r="C37" s="28"/>
      <c r="D37" s="28"/>
    </row>
    <row r="38" ht="15.75" customHeight="1">
      <c r="A38" s="29" t="s">
        <v>26</v>
      </c>
      <c r="B38" s="30"/>
      <c r="C38" s="30"/>
      <c r="D38" s="18"/>
    </row>
    <row r="39" ht="15.75" customHeight="1">
      <c r="A39" s="31"/>
      <c r="D39" s="19"/>
    </row>
    <row r="40" ht="15.75" customHeight="1">
      <c r="A40" s="31" t="str">
        <f>"KGV in "&amp;Q9&amp;":"</f>
        <v>KGV in 2033:</v>
      </c>
      <c r="D40" s="22">
        <v>24.0</v>
      </c>
    </row>
    <row r="41" ht="15.75" customHeight="1">
      <c r="A41" s="31"/>
      <c r="D41" s="19"/>
    </row>
    <row r="42" ht="15.75" customHeight="1">
      <c r="A42" s="31" t="str">
        <f>"Aktienkurs in "&amp;Q9&amp;":"</f>
        <v>Aktienkurs in 2033:</v>
      </c>
      <c r="D42" s="22">
        <f>Q16*D40</f>
        <v>391.060508</v>
      </c>
    </row>
    <row r="43" ht="15.75" customHeight="1">
      <c r="A43" s="31"/>
      <c r="D43" s="19"/>
    </row>
    <row r="44" ht="15.75" customHeight="1">
      <c r="A44" s="31" t="s">
        <v>27</v>
      </c>
      <c r="D44" s="21">
        <v>0.5</v>
      </c>
    </row>
    <row r="45" ht="15.75" customHeight="1">
      <c r="A45" s="31"/>
      <c r="D45" s="19"/>
    </row>
    <row r="46" ht="15.75" customHeight="1">
      <c r="A46" s="31" t="s">
        <v>28</v>
      </c>
      <c r="D46" s="22">
        <f>D44*SUM(H16:Q16)</f>
        <v>53.91917351</v>
      </c>
    </row>
    <row r="47" ht="15.75" customHeight="1">
      <c r="A47" s="31"/>
      <c r="D47" s="19"/>
    </row>
    <row r="48" ht="15.75" customHeight="1">
      <c r="A48" s="31" t="s">
        <v>29</v>
      </c>
      <c r="D48" s="21">
        <v>0.15</v>
      </c>
    </row>
    <row r="49" ht="15.75" customHeight="1">
      <c r="A49" s="31"/>
      <c r="D49" s="19"/>
    </row>
    <row r="50" ht="15.75" customHeight="1">
      <c r="A50" s="31" t="str">
        <f>"Gesamtwert "&amp;Q9</f>
        <v>Gesamtwert 2033</v>
      </c>
      <c r="D50" s="22">
        <f>D42+D46*(1-D48)</f>
        <v>436.8918054</v>
      </c>
    </row>
    <row r="51" ht="15.75" customHeight="1">
      <c r="A51" s="31"/>
      <c r="D51" s="19"/>
    </row>
    <row r="52" ht="15.75" customHeight="1">
      <c r="A52" s="31" t="str">
        <f>"Steigerung bis "&amp;Q9</f>
        <v>Steigerung bis 2033</v>
      </c>
      <c r="D52" s="21">
        <f>D50/C34-1</f>
        <v>1.27051141</v>
      </c>
    </row>
    <row r="53" ht="15.75" customHeight="1">
      <c r="A53" s="31"/>
      <c r="D53" s="19"/>
    </row>
    <row r="54" ht="15.75" customHeight="1">
      <c r="A54" s="32" t="str">
        <f>"Renditeerwartung bis "&amp;Q9&amp;" pro Jahr"</f>
        <v>Renditeerwartung bis 2033 pro Jahr</v>
      </c>
      <c r="B54" s="33"/>
      <c r="C54" s="33"/>
      <c r="D54" s="34">
        <f>(D50/C34)^(1/10)-1</f>
        <v>0.08545636306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Apple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6">
        <f t="shared" si="1"/>
        <v>2024</v>
      </c>
      <c r="I9" s="6">
        <f t="shared" si="1"/>
        <v>2025</v>
      </c>
      <c r="J9" s="6">
        <f t="shared" si="1"/>
        <v>2026</v>
      </c>
      <c r="K9" s="6">
        <f t="shared" si="1"/>
        <v>2027</v>
      </c>
      <c r="L9" s="6">
        <f t="shared" si="1"/>
        <v>2028</v>
      </c>
      <c r="M9" s="6">
        <f t="shared" si="1"/>
        <v>2029</v>
      </c>
      <c r="N9" s="6">
        <f t="shared" si="1"/>
        <v>2030</v>
      </c>
      <c r="O9" s="6">
        <f t="shared" si="1"/>
        <v>2031</v>
      </c>
      <c r="P9" s="6">
        <f t="shared" si="1"/>
        <v>2032</v>
      </c>
      <c r="Q9" s="6">
        <f t="shared" si="1"/>
        <v>2033</v>
      </c>
      <c r="R9" s="7" t="str">
        <f>Q9+1&amp;"ff."</f>
        <v>2034ff.</v>
      </c>
    </row>
    <row r="10" ht="15.75" customHeight="1">
      <c r="B10" s="2" t="s">
        <v>4</v>
      </c>
      <c r="C10" s="8">
        <f>Optimistisch!C10</f>
        <v>260.174</v>
      </c>
      <c r="D10" s="8">
        <f>Optimistisch!D10</f>
        <v>274.515</v>
      </c>
      <c r="E10" s="8">
        <f>Optimistisch!E10</f>
        <v>365.817</v>
      </c>
      <c r="F10" s="8">
        <f>Optimistisch!F10</f>
        <v>394.328</v>
      </c>
      <c r="G10" s="8">
        <f>Optimistisch!G10</f>
        <v>383.285</v>
      </c>
      <c r="H10" s="9">
        <f>Optimistisch!H10</f>
        <v>395.94737</v>
      </c>
      <c r="I10" s="9">
        <f>Optimistisch!I10</f>
        <v>417.67312</v>
      </c>
      <c r="J10" s="9">
        <f>Optimistisch!J10</f>
        <v>446.26553</v>
      </c>
      <c r="K10" s="9">
        <f t="shared" ref="K10:R10" si="2">J10*(1+K11)</f>
        <v>473.0414618</v>
      </c>
      <c r="L10" s="9">
        <f t="shared" si="2"/>
        <v>494.3283276</v>
      </c>
      <c r="M10" s="9">
        <f t="shared" si="2"/>
        <v>501.7432525</v>
      </c>
      <c r="N10" s="9">
        <f t="shared" si="2"/>
        <v>494.2171037</v>
      </c>
      <c r="O10" s="9">
        <f t="shared" si="2"/>
        <v>516.4568734</v>
      </c>
      <c r="P10" s="9">
        <f t="shared" si="2"/>
        <v>531.9505796</v>
      </c>
      <c r="Q10" s="9">
        <f t="shared" si="2"/>
        <v>542.5895912</v>
      </c>
      <c r="R10" s="9">
        <f t="shared" si="2"/>
        <v>550.728435</v>
      </c>
    </row>
    <row r="11" ht="15.75" customHeight="1">
      <c r="B11" s="2" t="s">
        <v>5</v>
      </c>
      <c r="C11" s="10" t="s">
        <v>6</v>
      </c>
      <c r="D11" s="11">
        <f t="shared" ref="D11:J11" si="3">D10/C10-1</f>
        <v>0.05512080377</v>
      </c>
      <c r="E11" s="11">
        <f t="shared" si="3"/>
        <v>0.3325938473</v>
      </c>
      <c r="F11" s="11">
        <f t="shared" si="3"/>
        <v>0.07793787604</v>
      </c>
      <c r="G11" s="11">
        <f t="shared" si="3"/>
        <v>-0.0280046053</v>
      </c>
      <c r="H11" s="12">
        <f t="shared" si="3"/>
        <v>0.03303643503</v>
      </c>
      <c r="I11" s="12">
        <f t="shared" si="3"/>
        <v>0.05487029753</v>
      </c>
      <c r="J11" s="12">
        <f t="shared" si="3"/>
        <v>0.06845642832</v>
      </c>
      <c r="K11" s="12">
        <v>0.06</v>
      </c>
      <c r="L11" s="12">
        <v>0.045</v>
      </c>
      <c r="M11" s="12">
        <v>0.015</v>
      </c>
      <c r="N11" s="12">
        <v>-0.015</v>
      </c>
      <c r="O11" s="12">
        <v>0.045</v>
      </c>
      <c r="P11" s="12">
        <v>0.03</v>
      </c>
      <c r="Q11" s="12">
        <v>0.02</v>
      </c>
      <c r="R11" s="12">
        <v>0.015</v>
      </c>
    </row>
    <row r="12" ht="15.75" customHeight="1">
      <c r="B12" s="2" t="s">
        <v>7</v>
      </c>
      <c r="C12" s="11">
        <f t="shared" ref="C12:J12" si="4">C13/C10</f>
        <v>0.2687816615</v>
      </c>
      <c r="D12" s="11">
        <f t="shared" si="4"/>
        <v>0.2414731435</v>
      </c>
      <c r="E12" s="11">
        <f t="shared" si="4"/>
        <v>0.2978237753</v>
      </c>
      <c r="F12" s="11">
        <f t="shared" si="4"/>
        <v>0.302887444</v>
      </c>
      <c r="G12" s="11">
        <f t="shared" si="4"/>
        <v>0.2982141227</v>
      </c>
      <c r="H12" s="12">
        <f t="shared" si="4"/>
        <v>0.3063</v>
      </c>
      <c r="I12" s="12">
        <f t="shared" si="4"/>
        <v>0.3075</v>
      </c>
      <c r="J12" s="12">
        <f t="shared" si="4"/>
        <v>0.3085</v>
      </c>
      <c r="K12" s="12">
        <v>0.305</v>
      </c>
      <c r="L12" s="12">
        <v>0.285</v>
      </c>
      <c r="M12" s="12">
        <v>0.3075</v>
      </c>
      <c r="N12" s="12">
        <v>0.31</v>
      </c>
      <c r="O12" s="12">
        <v>0.295</v>
      </c>
      <c r="P12" s="12">
        <v>0.28</v>
      </c>
      <c r="Q12" s="12">
        <v>0.305</v>
      </c>
      <c r="R12" s="12">
        <v>0.3</v>
      </c>
    </row>
    <row r="13" ht="15.75" customHeight="1">
      <c r="B13" s="2" t="s">
        <v>8</v>
      </c>
      <c r="C13" s="8">
        <f>Optimistisch!C13</f>
        <v>69.93</v>
      </c>
      <c r="D13" s="8">
        <f>Optimistisch!D13</f>
        <v>66.288</v>
      </c>
      <c r="E13" s="8">
        <f>Optimistisch!E13</f>
        <v>108.949</v>
      </c>
      <c r="F13" s="8">
        <f>Optimistisch!F13</f>
        <v>119.437</v>
      </c>
      <c r="G13" s="8">
        <f>Optimistisch!G13</f>
        <v>114.301</v>
      </c>
      <c r="H13" s="9">
        <f>Optimistisch!H13</f>
        <v>121.2786794</v>
      </c>
      <c r="I13" s="9">
        <f>Optimistisch!I13</f>
        <v>128.4344844</v>
      </c>
      <c r="J13" s="9">
        <f>Optimistisch!J13</f>
        <v>137.672916</v>
      </c>
      <c r="K13" s="9">
        <f t="shared" ref="K13:R13" si="5">K10*K12</f>
        <v>144.2776458</v>
      </c>
      <c r="L13" s="9">
        <f t="shared" si="5"/>
        <v>140.8835734</v>
      </c>
      <c r="M13" s="9">
        <f t="shared" si="5"/>
        <v>154.2860501</v>
      </c>
      <c r="N13" s="9">
        <f t="shared" si="5"/>
        <v>153.2073021</v>
      </c>
      <c r="O13" s="9">
        <f t="shared" si="5"/>
        <v>152.3547776</v>
      </c>
      <c r="P13" s="9">
        <f t="shared" si="5"/>
        <v>148.9461623</v>
      </c>
      <c r="Q13" s="9">
        <f t="shared" si="5"/>
        <v>165.4898253</v>
      </c>
      <c r="R13" s="9">
        <f t="shared" si="5"/>
        <v>165.2185305</v>
      </c>
    </row>
    <row r="14" ht="15.75" customHeight="1">
      <c r="A14" s="12">
        <v>0.2</v>
      </c>
      <c r="B14" s="2" t="s">
        <v>9</v>
      </c>
      <c r="C14" s="8">
        <f>Optimistisch!C14</f>
        <v>55.256</v>
      </c>
      <c r="D14" s="8">
        <f>Optimistisch!D14</f>
        <v>57.411</v>
      </c>
      <c r="E14" s="8">
        <f>Optimistisch!E14</f>
        <v>94.68</v>
      </c>
      <c r="F14" s="8">
        <f>Optimistisch!F14</f>
        <v>99.803</v>
      </c>
      <c r="G14" s="8">
        <f>Optimistisch!G14</f>
        <v>96.995</v>
      </c>
      <c r="H14" s="9">
        <f>Optimistisch!H14</f>
        <v>101.0853636</v>
      </c>
      <c r="I14" s="9">
        <f>Optimistisch!I14</f>
        <v>106.8825514</v>
      </c>
      <c r="J14" s="9">
        <f>Optimistisch!J14</f>
        <v>114.7794943</v>
      </c>
      <c r="K14" s="9">
        <f t="shared" ref="K14:R14" si="6">K13*(1-$A$14)</f>
        <v>115.4221167</v>
      </c>
      <c r="L14" s="9">
        <f t="shared" si="6"/>
        <v>112.7068587</v>
      </c>
      <c r="M14" s="9">
        <f t="shared" si="6"/>
        <v>123.4288401</v>
      </c>
      <c r="N14" s="9">
        <f t="shared" si="6"/>
        <v>122.5658417</v>
      </c>
      <c r="O14" s="9">
        <f t="shared" si="6"/>
        <v>121.8838221</v>
      </c>
      <c r="P14" s="9">
        <f t="shared" si="6"/>
        <v>119.1569298</v>
      </c>
      <c r="Q14" s="9">
        <f t="shared" si="6"/>
        <v>132.3918602</v>
      </c>
      <c r="R14" s="9">
        <f t="shared" si="6"/>
        <v>132.1748244</v>
      </c>
    </row>
    <row r="15" ht="15.75" customHeight="1">
      <c r="A15" s="12">
        <v>0.98</v>
      </c>
      <c r="B15" s="2" t="s">
        <v>10</v>
      </c>
      <c r="H15" s="9">
        <f>C33</f>
        <v>15.552752</v>
      </c>
      <c r="I15" s="9">
        <f t="shared" ref="I15:Q15" si="7">H15*$A$15</f>
        <v>15.24169696</v>
      </c>
      <c r="J15" s="9">
        <f t="shared" si="7"/>
        <v>14.93686302</v>
      </c>
      <c r="K15" s="9">
        <f t="shared" si="7"/>
        <v>14.63812576</v>
      </c>
      <c r="L15" s="9">
        <f t="shared" si="7"/>
        <v>14.34536325</v>
      </c>
      <c r="M15" s="9">
        <f t="shared" si="7"/>
        <v>14.05845598</v>
      </c>
      <c r="N15" s="9">
        <f t="shared" si="7"/>
        <v>13.77728686</v>
      </c>
      <c r="O15" s="9">
        <f t="shared" si="7"/>
        <v>13.50174112</v>
      </c>
      <c r="P15" s="9">
        <f t="shared" si="7"/>
        <v>13.2317063</v>
      </c>
      <c r="Q15" s="9">
        <f t="shared" si="7"/>
        <v>12.96707217</v>
      </c>
      <c r="R15" s="7" t="s">
        <v>6</v>
      </c>
    </row>
    <row r="16" ht="15.75" customHeight="1">
      <c r="B16" s="2" t="s">
        <v>11</v>
      </c>
      <c r="H16" s="9">
        <f t="shared" ref="H16:Q16" si="8">H14/H15</f>
        <v>6.499516199</v>
      </c>
      <c r="I16" s="9">
        <f t="shared" si="8"/>
        <v>7.012509938</v>
      </c>
      <c r="J16" s="9">
        <f t="shared" si="8"/>
        <v>7.684310565</v>
      </c>
      <c r="K16" s="9">
        <f t="shared" si="8"/>
        <v>7.88503382</v>
      </c>
      <c r="L16" s="9">
        <f t="shared" si="8"/>
        <v>7.856675133</v>
      </c>
      <c r="M16" s="9">
        <f t="shared" si="8"/>
        <v>8.77968678</v>
      </c>
      <c r="N16" s="9">
        <f t="shared" si="8"/>
        <v>8.896224849</v>
      </c>
      <c r="O16" s="9">
        <f t="shared" si="8"/>
        <v>9.027267002</v>
      </c>
      <c r="P16" s="9">
        <f t="shared" si="8"/>
        <v>9.005409213</v>
      </c>
      <c r="Q16" s="9">
        <f t="shared" si="8"/>
        <v>10.20984988</v>
      </c>
      <c r="R16" s="7" t="s">
        <v>6</v>
      </c>
    </row>
    <row r="17" ht="15.75" customHeight="1">
      <c r="F17" s="13" t="s">
        <v>12</v>
      </c>
      <c r="G17" s="14"/>
      <c r="H17" s="15">
        <f>H14/(1+$B$29)</f>
        <v>94.27079197</v>
      </c>
      <c r="I17" s="15">
        <f>I14/(1+$B$29)^2</f>
        <v>92.95752857</v>
      </c>
      <c r="J17" s="15">
        <f>J14/(1+$B$29)^3</f>
        <v>93.09598292</v>
      </c>
      <c r="K17" s="15">
        <f>K14/(1+$B$29)^4</f>
        <v>87.30609169</v>
      </c>
      <c r="L17" s="15">
        <f>L14/(1+$B$29)^5</f>
        <v>79.50505393</v>
      </c>
      <c r="M17" s="15">
        <f>M14/(1+$B$29)^6</f>
        <v>81.19885721</v>
      </c>
      <c r="N17" s="15">
        <f>N14/(1+$B$29)^7</f>
        <v>75.19545637</v>
      </c>
      <c r="O17" s="15">
        <f>O14/(1+$B$29)^8</f>
        <v>69.7360092</v>
      </c>
      <c r="P17" s="15">
        <f>P14/(1+$B$29)^9</f>
        <v>63.57980748</v>
      </c>
      <c r="Q17" s="15">
        <f>Q14/(1+$B$29)^10</f>
        <v>65.87946543</v>
      </c>
      <c r="R17" s="16">
        <f>(R14/(B29-R11))/(1+B29)^10</f>
        <v>1148.100558</v>
      </c>
    </row>
    <row r="18" ht="15.75" customHeight="1"/>
    <row r="19" ht="15.75" customHeight="1">
      <c r="A19" s="17" t="s">
        <v>13</v>
      </c>
      <c r="B19" s="18"/>
    </row>
    <row r="20" ht="15.75" customHeight="1">
      <c r="B20" s="19"/>
    </row>
    <row r="21" ht="15.75" customHeight="1">
      <c r="A21" s="2" t="s">
        <v>14</v>
      </c>
      <c r="B21" s="21">
        <f>Optimistisch!B21</f>
        <v>0.04141</v>
      </c>
    </row>
    <row r="22" ht="15.75" customHeight="1">
      <c r="B22" s="19"/>
    </row>
    <row r="23" ht="15.75" customHeight="1">
      <c r="A23" s="2" t="s">
        <v>15</v>
      </c>
      <c r="B23" s="21">
        <f>(B25-B21)*B27</f>
        <v>0.0308772</v>
      </c>
    </row>
    <row r="24" ht="15.75" customHeight="1">
      <c r="B24" s="19"/>
    </row>
    <row r="25" ht="15.75" customHeight="1">
      <c r="A25" s="2" t="s">
        <v>16</v>
      </c>
      <c r="B25" s="21">
        <f>Optimistisch!B25</f>
        <v>0.07</v>
      </c>
    </row>
    <row r="26" ht="15.75" customHeight="1">
      <c r="B26" s="19"/>
    </row>
    <row r="27" ht="15.75" customHeight="1">
      <c r="A27" s="2" t="s">
        <v>17</v>
      </c>
      <c r="B27" s="22">
        <f>Optimistisch!B27</f>
        <v>1.08</v>
      </c>
    </row>
    <row r="28" ht="15.75" customHeight="1">
      <c r="B28" s="19"/>
    </row>
    <row r="29" ht="15.75" customHeight="1">
      <c r="A29" s="23" t="s">
        <v>18</v>
      </c>
      <c r="B29" s="24">
        <f>B21+(B25-B21)*B27</f>
        <v>0.0722872</v>
      </c>
    </row>
    <row r="30" ht="15.75" customHeight="1"/>
    <row r="31" ht="15.75" customHeight="1">
      <c r="A31" s="3"/>
      <c r="B31" s="3"/>
      <c r="C31" s="25">
        <f>Optimistisch!C31</f>
        <v>45317</v>
      </c>
      <c r="D31" s="26" t="s">
        <v>19</v>
      </c>
    </row>
    <row r="32" ht="15.75" customHeight="1">
      <c r="A32" s="6" t="s">
        <v>20</v>
      </c>
      <c r="B32" s="6" t="s">
        <v>21</v>
      </c>
      <c r="C32" s="9">
        <f>C33*C34</f>
        <v>2992.66054</v>
      </c>
      <c r="D32" s="9">
        <f>SUM(H17:R17)</f>
        <v>1950.825603</v>
      </c>
    </row>
    <row r="33" ht="15.75" customHeight="1">
      <c r="A33" s="6"/>
      <c r="B33" s="6" t="s">
        <v>22</v>
      </c>
      <c r="C33" s="9">
        <f>Optimistisch!C33</f>
        <v>15.552752</v>
      </c>
      <c r="D33" s="9">
        <f>C33</f>
        <v>15.552752</v>
      </c>
    </row>
    <row r="34" ht="15.75" customHeight="1">
      <c r="A34" s="6"/>
      <c r="B34" s="6" t="s">
        <v>23</v>
      </c>
      <c r="C34" s="9">
        <f>Optimistisch!C34</f>
        <v>192.42</v>
      </c>
      <c r="D34" s="9">
        <f>D32/D33</f>
        <v>125.4328239</v>
      </c>
    </row>
    <row r="35" ht="15.75" customHeight="1">
      <c r="A35" s="6"/>
      <c r="B35" s="6" t="s">
        <v>24</v>
      </c>
      <c r="C35" s="6"/>
      <c r="D35" s="12">
        <f>IF(C34/D34-1&gt;0,0,C34/D34-1)*-1</f>
        <v>0</v>
      </c>
    </row>
    <row r="36" ht="15.75" customHeight="1">
      <c r="A36" s="6"/>
      <c r="B36" s="6" t="s">
        <v>25</v>
      </c>
      <c r="C36" s="6"/>
      <c r="D36" s="12">
        <f>IF(C34/D34-1&lt;0,0,C34/D34-1)</f>
        <v>0.5340482179</v>
      </c>
    </row>
    <row r="37" ht="15.75" customHeight="1">
      <c r="A37" s="28"/>
      <c r="B37" s="28"/>
      <c r="C37" s="28"/>
      <c r="D37" s="28"/>
    </row>
    <row r="38" ht="15.75" customHeight="1">
      <c r="A38" s="29" t="s">
        <v>26</v>
      </c>
      <c r="B38" s="30"/>
      <c r="C38" s="30"/>
      <c r="D38" s="18"/>
    </row>
    <row r="39" ht="15.75" customHeight="1">
      <c r="A39" s="31"/>
      <c r="D39" s="19"/>
    </row>
    <row r="40" ht="15.75" customHeight="1">
      <c r="A40" s="31" t="str">
        <f>"KGV in "&amp;Q9&amp;":"</f>
        <v>KGV in 2033:</v>
      </c>
      <c r="D40" s="22">
        <v>19.0</v>
      </c>
    </row>
    <row r="41" ht="15.75" customHeight="1">
      <c r="A41" s="31"/>
      <c r="D41" s="19"/>
    </row>
    <row r="42" ht="15.75" customHeight="1">
      <c r="A42" s="31" t="str">
        <f>"Aktienkurs in "&amp;Q9&amp;":"</f>
        <v>Aktienkurs in 2033:</v>
      </c>
      <c r="D42" s="22">
        <f>Q16*D40</f>
        <v>193.9871477</v>
      </c>
    </row>
    <row r="43" ht="15.75" customHeight="1">
      <c r="A43" s="31"/>
      <c r="D43" s="19"/>
    </row>
    <row r="44" ht="15.75" customHeight="1">
      <c r="A44" s="31" t="s">
        <v>27</v>
      </c>
      <c r="D44" s="21">
        <v>0.4</v>
      </c>
    </row>
    <row r="45" ht="15.75" customHeight="1">
      <c r="A45" s="31"/>
      <c r="D45" s="19"/>
    </row>
    <row r="46" ht="15.75" customHeight="1">
      <c r="A46" s="31" t="s">
        <v>28</v>
      </c>
      <c r="D46" s="22">
        <f>D44*SUM(H16:Q16)</f>
        <v>33.14259335</v>
      </c>
    </row>
    <row r="47" ht="15.75" customHeight="1">
      <c r="A47" s="31"/>
      <c r="D47" s="19"/>
    </row>
    <row r="48" ht="15.75" customHeight="1">
      <c r="A48" s="31" t="s">
        <v>29</v>
      </c>
      <c r="D48" s="21">
        <f>Optimistisch!D48</f>
        <v>0.15</v>
      </c>
    </row>
    <row r="49" ht="15.75" customHeight="1">
      <c r="A49" s="31"/>
      <c r="D49" s="19"/>
    </row>
    <row r="50" ht="15.75" customHeight="1">
      <c r="A50" s="31" t="str">
        <f>"Gesamtwert "&amp;Q9</f>
        <v>Gesamtwert 2033</v>
      </c>
      <c r="D50" s="22">
        <f>D42+D46*(1-D48)</f>
        <v>222.158352</v>
      </c>
    </row>
    <row r="51" ht="15.75" customHeight="1">
      <c r="A51" s="31"/>
      <c r="D51" s="19"/>
    </row>
    <row r="52" ht="15.75" customHeight="1">
      <c r="A52" s="31" t="str">
        <f>"Steigerung bis "&amp;Q9</f>
        <v>Steigerung bis 2033</v>
      </c>
      <c r="D52" s="21">
        <f>D50/C34-1</f>
        <v>0.1545491737</v>
      </c>
    </row>
    <row r="53" ht="15.75" customHeight="1">
      <c r="A53" s="31"/>
      <c r="D53" s="19"/>
    </row>
    <row r="54" ht="15.75" customHeight="1">
      <c r="A54" s="32" t="str">
        <f>"Renditeerwartung bis "&amp;Q9&amp;" pro Jahr"</f>
        <v>Renditeerwartung bis 2033 pro Jahr</v>
      </c>
      <c r="B54" s="33"/>
      <c r="C54" s="33"/>
      <c r="D54" s="34">
        <f>(D50/C34)^(1/10)-1</f>
        <v>0.01447475338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Apple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6">
        <f t="shared" si="1"/>
        <v>2024</v>
      </c>
      <c r="I9" s="6">
        <f t="shared" si="1"/>
        <v>2025</v>
      </c>
      <c r="J9" s="6">
        <f t="shared" si="1"/>
        <v>2026</v>
      </c>
      <c r="K9" s="6">
        <f t="shared" si="1"/>
        <v>2027</v>
      </c>
      <c r="L9" s="6">
        <f t="shared" si="1"/>
        <v>2028</v>
      </c>
      <c r="M9" s="6">
        <f t="shared" si="1"/>
        <v>2029</v>
      </c>
      <c r="N9" s="6">
        <f t="shared" si="1"/>
        <v>2030</v>
      </c>
      <c r="O9" s="6">
        <f t="shared" si="1"/>
        <v>2031</v>
      </c>
      <c r="P9" s="6">
        <f t="shared" si="1"/>
        <v>2032</v>
      </c>
      <c r="Q9" s="6">
        <f t="shared" si="1"/>
        <v>2033</v>
      </c>
      <c r="R9" s="7" t="str">
        <f>Q9+1&amp;"ff."</f>
        <v>2034ff.</v>
      </c>
    </row>
    <row r="10" ht="15.75" customHeight="1">
      <c r="B10" s="2" t="s">
        <v>4</v>
      </c>
      <c r="C10" s="8">
        <f>Optimistisch!C10</f>
        <v>260.174</v>
      </c>
      <c r="D10" s="8">
        <f>Optimistisch!D10</f>
        <v>274.515</v>
      </c>
      <c r="E10" s="8">
        <f>Optimistisch!E10</f>
        <v>365.817</v>
      </c>
      <c r="F10" s="8">
        <f>Optimistisch!F10</f>
        <v>394.328</v>
      </c>
      <c r="G10" s="8">
        <f>Optimistisch!G10</f>
        <v>383.285</v>
      </c>
      <c r="H10" s="9">
        <f t="shared" ref="H10:R10" si="2">G10*(1+H11)</f>
        <v>407.2403125</v>
      </c>
      <c r="I10" s="9">
        <f t="shared" si="2"/>
        <v>432.692832</v>
      </c>
      <c r="J10" s="9">
        <f t="shared" si="2"/>
        <v>459.736134</v>
      </c>
      <c r="K10" s="9">
        <f t="shared" si="2"/>
        <v>488.4696424</v>
      </c>
      <c r="L10" s="9">
        <f t="shared" si="2"/>
        <v>518.9989951</v>
      </c>
      <c r="M10" s="9">
        <f t="shared" si="2"/>
        <v>551.4364323</v>
      </c>
      <c r="N10" s="9">
        <f t="shared" si="2"/>
        <v>585.9012093</v>
      </c>
      <c r="O10" s="9">
        <f t="shared" si="2"/>
        <v>622.5200348</v>
      </c>
      <c r="P10" s="9">
        <f t="shared" si="2"/>
        <v>661.427537</v>
      </c>
      <c r="Q10" s="9">
        <f t="shared" si="2"/>
        <v>702.7667581</v>
      </c>
      <c r="R10" s="9">
        <f t="shared" si="2"/>
        <v>716.8220933</v>
      </c>
    </row>
    <row r="11" ht="15.75" customHeight="1">
      <c r="B11" s="2" t="s">
        <v>5</v>
      </c>
      <c r="C11" s="10" t="s">
        <v>6</v>
      </c>
      <c r="D11" s="11">
        <f t="shared" ref="D11:G11" si="3">D10/C10-1</f>
        <v>0.05512080377</v>
      </c>
      <c r="E11" s="11">
        <f t="shared" si="3"/>
        <v>0.3325938473</v>
      </c>
      <c r="F11" s="11">
        <f t="shared" si="3"/>
        <v>0.07793787604</v>
      </c>
      <c r="G11" s="11">
        <f t="shared" si="3"/>
        <v>-0.0280046053</v>
      </c>
      <c r="H11" s="12">
        <v>0.0625</v>
      </c>
      <c r="I11" s="12">
        <f t="shared" ref="I11:Q11" si="4">$H$11</f>
        <v>0.0625</v>
      </c>
      <c r="J11" s="12">
        <f t="shared" si="4"/>
        <v>0.0625</v>
      </c>
      <c r="K11" s="12">
        <f t="shared" si="4"/>
        <v>0.0625</v>
      </c>
      <c r="L11" s="12">
        <f t="shared" si="4"/>
        <v>0.0625</v>
      </c>
      <c r="M11" s="12">
        <f t="shared" si="4"/>
        <v>0.0625</v>
      </c>
      <c r="N11" s="12">
        <f t="shared" si="4"/>
        <v>0.0625</v>
      </c>
      <c r="O11" s="12">
        <f t="shared" si="4"/>
        <v>0.0625</v>
      </c>
      <c r="P11" s="12">
        <f t="shared" si="4"/>
        <v>0.0625</v>
      </c>
      <c r="Q11" s="12">
        <f t="shared" si="4"/>
        <v>0.0625</v>
      </c>
      <c r="R11" s="12">
        <f>Optimistisch!R11</f>
        <v>0.02</v>
      </c>
    </row>
    <row r="12" ht="15.75" customHeight="1">
      <c r="B12" s="2" t="s">
        <v>7</v>
      </c>
      <c r="C12" s="11">
        <f t="shared" ref="C12:G12" si="5">C13/C10</f>
        <v>0.2687816615</v>
      </c>
      <c r="D12" s="11">
        <f t="shared" si="5"/>
        <v>0.2414731435</v>
      </c>
      <c r="E12" s="11">
        <f t="shared" si="5"/>
        <v>0.2978237753</v>
      </c>
      <c r="F12" s="11">
        <f t="shared" si="5"/>
        <v>0.302887444</v>
      </c>
      <c r="G12" s="11">
        <f t="shared" si="5"/>
        <v>0.2982141227</v>
      </c>
      <c r="H12" s="12">
        <f>Optimistisch!H12</f>
        <v>0.3063</v>
      </c>
      <c r="I12" s="12">
        <f>Optimistisch!I12</f>
        <v>0.3075</v>
      </c>
      <c r="J12" s="12">
        <f>Optimistisch!J12</f>
        <v>0.3085</v>
      </c>
      <c r="K12" s="12">
        <f>Optimistisch!K12</f>
        <v>0.31</v>
      </c>
      <c r="L12" s="12">
        <f>Optimistisch!L12</f>
        <v>0.3125</v>
      </c>
      <c r="M12" s="12">
        <f>Optimistisch!M12</f>
        <v>0.3175</v>
      </c>
      <c r="N12" s="12">
        <f>Optimistisch!N12</f>
        <v>0.305</v>
      </c>
      <c r="O12" s="12">
        <f>Optimistisch!O12</f>
        <v>0.325</v>
      </c>
      <c r="P12" s="12">
        <f>Optimistisch!P12</f>
        <v>0.335</v>
      </c>
      <c r="Q12" s="12">
        <f>Optimistisch!Q12</f>
        <v>0.34</v>
      </c>
      <c r="R12" s="12">
        <f>Optimistisch!R12</f>
        <v>0.35</v>
      </c>
    </row>
    <row r="13" ht="15.75" customHeight="1">
      <c r="B13" s="2" t="s">
        <v>8</v>
      </c>
      <c r="C13" s="8">
        <f>Optimistisch!C13</f>
        <v>69.93</v>
      </c>
      <c r="D13" s="8">
        <f>Optimistisch!D13</f>
        <v>66.288</v>
      </c>
      <c r="E13" s="8">
        <f>Optimistisch!E13</f>
        <v>108.949</v>
      </c>
      <c r="F13" s="8">
        <f>Optimistisch!F13</f>
        <v>119.437</v>
      </c>
      <c r="G13" s="8">
        <f>Optimistisch!G13</f>
        <v>114.301</v>
      </c>
      <c r="H13" s="9">
        <f t="shared" ref="H13:R13" si="6">H10*H12</f>
        <v>124.7377077</v>
      </c>
      <c r="I13" s="9">
        <f t="shared" si="6"/>
        <v>133.0530458</v>
      </c>
      <c r="J13" s="9">
        <f t="shared" si="6"/>
        <v>141.8285973</v>
      </c>
      <c r="K13" s="9">
        <f t="shared" si="6"/>
        <v>151.4255891</v>
      </c>
      <c r="L13" s="9">
        <f t="shared" si="6"/>
        <v>162.187186</v>
      </c>
      <c r="M13" s="9">
        <f t="shared" si="6"/>
        <v>175.0810672</v>
      </c>
      <c r="N13" s="9">
        <f t="shared" si="6"/>
        <v>178.6998688</v>
      </c>
      <c r="O13" s="9">
        <f t="shared" si="6"/>
        <v>202.3190113</v>
      </c>
      <c r="P13" s="9">
        <f t="shared" si="6"/>
        <v>221.5782249</v>
      </c>
      <c r="Q13" s="9">
        <f t="shared" si="6"/>
        <v>238.9406978</v>
      </c>
      <c r="R13" s="9">
        <f t="shared" si="6"/>
        <v>250.8877326</v>
      </c>
    </row>
    <row r="14" ht="15.75" customHeight="1">
      <c r="A14" s="12">
        <f>Optimistisch!A14</f>
        <v>0.15</v>
      </c>
      <c r="B14" s="2" t="s">
        <v>9</v>
      </c>
      <c r="C14" s="8">
        <f>Optimistisch!C14</f>
        <v>55.256</v>
      </c>
      <c r="D14" s="8">
        <f>Optimistisch!D14</f>
        <v>57.411</v>
      </c>
      <c r="E14" s="8">
        <f>Optimistisch!E14</f>
        <v>94.68</v>
      </c>
      <c r="F14" s="8">
        <f>Optimistisch!F14</f>
        <v>99.803</v>
      </c>
      <c r="G14" s="8">
        <f>Optimistisch!G14</f>
        <v>96.995</v>
      </c>
      <c r="H14" s="9">
        <f t="shared" ref="H14:R14" si="7">H13*(1-$A$14)</f>
        <v>106.0270516</v>
      </c>
      <c r="I14" s="9">
        <f t="shared" si="7"/>
        <v>113.095089</v>
      </c>
      <c r="J14" s="9">
        <f t="shared" si="7"/>
        <v>120.5543077</v>
      </c>
      <c r="K14" s="9">
        <f t="shared" si="7"/>
        <v>128.7117508</v>
      </c>
      <c r="L14" s="9">
        <f t="shared" si="7"/>
        <v>137.8591081</v>
      </c>
      <c r="M14" s="9">
        <f t="shared" si="7"/>
        <v>148.8189072</v>
      </c>
      <c r="N14" s="9">
        <f t="shared" si="7"/>
        <v>151.8948885</v>
      </c>
      <c r="O14" s="9">
        <f t="shared" si="7"/>
        <v>171.9711596</v>
      </c>
      <c r="P14" s="9">
        <f t="shared" si="7"/>
        <v>188.3414912</v>
      </c>
      <c r="Q14" s="9">
        <f t="shared" si="7"/>
        <v>203.0995931</v>
      </c>
      <c r="R14" s="9">
        <f t="shared" si="7"/>
        <v>213.2545727</v>
      </c>
    </row>
    <row r="15" ht="15.75" customHeight="1">
      <c r="A15" s="12">
        <f>Optimistisch!A15</f>
        <v>0.965</v>
      </c>
      <c r="B15" s="2" t="s">
        <v>10</v>
      </c>
      <c r="H15" s="9">
        <f>C33</f>
        <v>15.552752</v>
      </c>
      <c r="I15" s="9">
        <f t="shared" ref="I15:Q15" si="8">H15*$A$15</f>
        <v>15.00840568</v>
      </c>
      <c r="J15" s="9">
        <f t="shared" si="8"/>
        <v>14.48311148</v>
      </c>
      <c r="K15" s="9">
        <f t="shared" si="8"/>
        <v>13.97620258</v>
      </c>
      <c r="L15" s="9">
        <f t="shared" si="8"/>
        <v>13.48703549</v>
      </c>
      <c r="M15" s="9">
        <f t="shared" si="8"/>
        <v>13.01498925</v>
      </c>
      <c r="N15" s="9">
        <f t="shared" si="8"/>
        <v>12.55946462</v>
      </c>
      <c r="O15" s="9">
        <f t="shared" si="8"/>
        <v>12.11988336</v>
      </c>
      <c r="P15" s="9">
        <f t="shared" si="8"/>
        <v>11.69568744</v>
      </c>
      <c r="Q15" s="9">
        <f t="shared" si="8"/>
        <v>11.28633838</v>
      </c>
      <c r="R15" s="7" t="s">
        <v>6</v>
      </c>
    </row>
    <row r="16" ht="15.75" customHeight="1">
      <c r="B16" s="2" t="s">
        <v>11</v>
      </c>
      <c r="H16" s="9">
        <f t="shared" ref="H16:Q16" si="9">H14/H15</f>
        <v>6.817253407</v>
      </c>
      <c r="I16" s="9">
        <f t="shared" si="9"/>
        <v>7.535449893</v>
      </c>
      <c r="J16" s="9">
        <f t="shared" si="9"/>
        <v>8.323785114</v>
      </c>
      <c r="K16" s="9">
        <f t="shared" si="9"/>
        <v>9.209350683</v>
      </c>
      <c r="L16" s="9">
        <f t="shared" si="9"/>
        <v>10.22160194</v>
      </c>
      <c r="M16" s="9">
        <f t="shared" si="9"/>
        <v>11.43442413</v>
      </c>
      <c r="N16" s="9">
        <f t="shared" si="9"/>
        <v>12.09405759</v>
      </c>
      <c r="O16" s="9">
        <f t="shared" si="9"/>
        <v>14.18917612</v>
      </c>
      <c r="P16" s="9">
        <f t="shared" si="9"/>
        <v>16.10349901</v>
      </c>
      <c r="Q16" s="9">
        <f t="shared" si="9"/>
        <v>17.99517135</v>
      </c>
      <c r="R16" s="7" t="s">
        <v>6</v>
      </c>
    </row>
    <row r="17" ht="15.75" customHeight="1">
      <c r="F17" s="13" t="s">
        <v>12</v>
      </c>
      <c r="G17" s="14"/>
      <c r="H17" s="15">
        <f>H14/(1+$B$29)</f>
        <v>98.87934087</v>
      </c>
      <c r="I17" s="15">
        <f>I14/(1+$B$29)^2</f>
        <v>98.36067558</v>
      </c>
      <c r="J17" s="15">
        <f>J14/(1+$B$29)^3</f>
        <v>97.77985033</v>
      </c>
      <c r="K17" s="15">
        <f>K14/(1+$B$29)^4</f>
        <v>97.35846333</v>
      </c>
      <c r="L17" s="15">
        <f>L14/(1+$B$29)^5</f>
        <v>97.24781569</v>
      </c>
      <c r="M17" s="15">
        <f>M14/(1+$B$29)^6</f>
        <v>97.90195858</v>
      </c>
      <c r="N17" s="15">
        <f>N14/(1+$B$29)^7</f>
        <v>93.18914064</v>
      </c>
      <c r="O17" s="15">
        <f>O14/(1+$B$29)^8</f>
        <v>98.39355347</v>
      </c>
      <c r="P17" s="15">
        <f>P14/(1+$B$29)^9</f>
        <v>100.4953364</v>
      </c>
      <c r="Q17" s="15">
        <f>Q14/(1+$B$29)^10</f>
        <v>101.0643147</v>
      </c>
      <c r="R17" s="16">
        <f>(R14/(B29-R11))/(1+B29)^10</f>
        <v>2029.512584</v>
      </c>
    </row>
    <row r="18" ht="15.75" customHeight="1"/>
    <row r="19" ht="15.75" customHeight="1">
      <c r="A19" s="17" t="s">
        <v>13</v>
      </c>
      <c r="B19" s="18"/>
    </row>
    <row r="20" ht="15.75" customHeight="1">
      <c r="B20" s="19"/>
    </row>
    <row r="21" ht="15.75" customHeight="1">
      <c r="A21" s="2" t="s">
        <v>14</v>
      </c>
      <c r="B21" s="21">
        <f>Optimistisch!B21</f>
        <v>0.04141</v>
      </c>
    </row>
    <row r="22" ht="15.75" customHeight="1">
      <c r="B22" s="19"/>
    </row>
    <row r="23" ht="15.75" customHeight="1">
      <c r="A23" s="2" t="s">
        <v>15</v>
      </c>
      <c r="B23" s="21">
        <f>(B25-B21)*B27</f>
        <v>0.0308772</v>
      </c>
    </row>
    <row r="24" ht="15.75" customHeight="1">
      <c r="B24" s="19"/>
    </row>
    <row r="25" ht="15.75" customHeight="1">
      <c r="A25" s="2" t="s">
        <v>16</v>
      </c>
      <c r="B25" s="21">
        <f>Optimistisch!B25</f>
        <v>0.07</v>
      </c>
    </row>
    <row r="26" ht="15.75" customHeight="1">
      <c r="B26" s="19"/>
    </row>
    <row r="27" ht="15.75" customHeight="1">
      <c r="A27" s="2" t="s">
        <v>17</v>
      </c>
      <c r="B27" s="22">
        <f>Optimistisch!B27</f>
        <v>1.08</v>
      </c>
    </row>
    <row r="28" ht="15.75" customHeight="1">
      <c r="B28" s="19"/>
    </row>
    <row r="29" ht="15.75" customHeight="1">
      <c r="A29" s="23" t="s">
        <v>18</v>
      </c>
      <c r="B29" s="24">
        <f>B21+(B25-B21)*B27</f>
        <v>0.0722872</v>
      </c>
    </row>
    <row r="30" ht="15.75" customHeight="1"/>
    <row r="31" ht="15.75" customHeight="1">
      <c r="A31" s="3"/>
      <c r="B31" s="3"/>
      <c r="C31" s="25">
        <f>Optimistisch!C31</f>
        <v>45317</v>
      </c>
      <c r="D31" s="26" t="s">
        <v>19</v>
      </c>
    </row>
    <row r="32" ht="15.75" customHeight="1">
      <c r="A32" s="6" t="s">
        <v>20</v>
      </c>
      <c r="B32" s="6" t="s">
        <v>21</v>
      </c>
      <c r="C32" s="9">
        <f>C33*C34</f>
        <v>2992.66054</v>
      </c>
      <c r="D32" s="9">
        <f>SUM(H17:R17)</f>
        <v>3010.183034</v>
      </c>
    </row>
    <row r="33" ht="15.75" customHeight="1">
      <c r="A33" s="6"/>
      <c r="B33" s="6" t="s">
        <v>22</v>
      </c>
      <c r="C33" s="9">
        <f>Optimistisch!C33</f>
        <v>15.552752</v>
      </c>
      <c r="D33" s="9">
        <f>C33</f>
        <v>15.552752</v>
      </c>
    </row>
    <row r="34" ht="15.75" customHeight="1">
      <c r="A34" s="6"/>
      <c r="B34" s="6" t="s">
        <v>23</v>
      </c>
      <c r="C34" s="9">
        <f>Optimistisch!C34</f>
        <v>192.42</v>
      </c>
      <c r="D34" s="9">
        <f>D32/D33</f>
        <v>193.5466491</v>
      </c>
    </row>
    <row r="35" ht="15.75" customHeight="1">
      <c r="A35" s="6"/>
      <c r="B35" s="6" t="s">
        <v>24</v>
      </c>
      <c r="C35" s="6"/>
      <c r="D35" s="12">
        <f>IF(C34/D34-1&gt;0,0,C34/D34-1)*-1</f>
        <v>0.005821072537</v>
      </c>
    </row>
    <row r="36" ht="15.75" customHeight="1">
      <c r="A36" s="6"/>
      <c r="B36" s="6" t="s">
        <v>25</v>
      </c>
      <c r="C36" s="6"/>
      <c r="D36" s="12">
        <f>IF(C34/D34-1&lt;0,0,C34/D34-1)</f>
        <v>0</v>
      </c>
    </row>
    <row r="37" ht="15.75" customHeight="1">
      <c r="A37" s="28"/>
      <c r="B37" s="28"/>
      <c r="C37" s="28"/>
      <c r="D37" s="28"/>
    </row>
    <row r="38" ht="15.75" customHeight="1">
      <c r="A38" s="29" t="s">
        <v>26</v>
      </c>
      <c r="B38" s="30"/>
      <c r="C38" s="30"/>
      <c r="D38" s="18"/>
    </row>
    <row r="39" ht="15.75" customHeight="1">
      <c r="A39" s="31"/>
      <c r="D39" s="19"/>
    </row>
    <row r="40" ht="15.75" customHeight="1">
      <c r="A40" s="31" t="str">
        <f>"KGV in "&amp;Q9&amp;":"</f>
        <v>KGV in 2033:</v>
      </c>
      <c r="D40" s="22">
        <v>25.25</v>
      </c>
    </row>
    <row r="41" ht="15.75" customHeight="1">
      <c r="A41" s="31"/>
      <c r="D41" s="19"/>
    </row>
    <row r="42" ht="15.75" customHeight="1">
      <c r="A42" s="31" t="str">
        <f>"Aktienkurs in "&amp;Q9&amp;":"</f>
        <v>Aktienkurs in 2033:</v>
      </c>
      <c r="D42" s="22">
        <f>Q16*D40</f>
        <v>454.3780765</v>
      </c>
    </row>
    <row r="43" ht="15.75" customHeight="1">
      <c r="A43" s="31"/>
      <c r="D43" s="19"/>
    </row>
    <row r="44" ht="15.75" customHeight="1">
      <c r="A44" s="31" t="s">
        <v>27</v>
      </c>
      <c r="D44" s="21">
        <f>Optimistisch!D44</f>
        <v>0.5</v>
      </c>
    </row>
    <row r="45" ht="15.75" customHeight="1">
      <c r="A45" s="31"/>
      <c r="D45" s="19"/>
    </row>
    <row r="46" ht="15.75" customHeight="1">
      <c r="A46" s="31" t="s">
        <v>28</v>
      </c>
      <c r="D46" s="22">
        <f>D44*SUM(H16:Q16)</f>
        <v>56.96188462</v>
      </c>
    </row>
    <row r="47" ht="15.75" customHeight="1">
      <c r="A47" s="31"/>
      <c r="D47" s="19"/>
    </row>
    <row r="48" ht="15.75" customHeight="1">
      <c r="A48" s="31" t="s">
        <v>29</v>
      </c>
      <c r="D48" s="21">
        <f>Optimistisch!D48</f>
        <v>0.15</v>
      </c>
    </row>
    <row r="49" ht="15.75" customHeight="1">
      <c r="A49" s="31"/>
      <c r="D49" s="19"/>
    </row>
    <row r="50" ht="15.75" customHeight="1">
      <c r="A50" s="31" t="str">
        <f>"Gesamtwert "&amp;Q9</f>
        <v>Gesamtwert 2033</v>
      </c>
      <c r="D50" s="22">
        <f>D42+D46*(1-D48)</f>
        <v>502.7956784</v>
      </c>
    </row>
    <row r="51" ht="15.75" customHeight="1">
      <c r="A51" s="31"/>
      <c r="D51" s="19"/>
    </row>
    <row r="52" ht="15.75" customHeight="1">
      <c r="A52" s="31" t="str">
        <f>"Steigerung bis "&amp;Q9</f>
        <v>Steigerung bis 2033</v>
      </c>
      <c r="D52" s="21">
        <f>D50/C34-1</f>
        <v>1.613011529</v>
      </c>
    </row>
    <row r="53" ht="15.75" customHeight="1">
      <c r="A53" s="31"/>
      <c r="D53" s="19"/>
    </row>
    <row r="54" ht="15.75" customHeight="1">
      <c r="A54" s="32" t="str">
        <f>"Renditeerwartung bis "&amp;Q9&amp;" pro Jahr"</f>
        <v>Renditeerwartung bis 2033 pro Jahr</v>
      </c>
      <c r="B54" s="33"/>
      <c r="C54" s="33"/>
      <c r="D54" s="34">
        <f>(D50/C34)^(1/10)-1</f>
        <v>0.1008144775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Apple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6">
        <f t="shared" si="1"/>
        <v>2024</v>
      </c>
      <c r="I9" s="6">
        <f t="shared" si="1"/>
        <v>2025</v>
      </c>
      <c r="J9" s="6">
        <f t="shared" si="1"/>
        <v>2026</v>
      </c>
      <c r="K9" s="6">
        <f t="shared" si="1"/>
        <v>2027</v>
      </c>
      <c r="L9" s="6">
        <f t="shared" si="1"/>
        <v>2028</v>
      </c>
      <c r="M9" s="6">
        <f t="shared" si="1"/>
        <v>2029</v>
      </c>
      <c r="R9" s="10"/>
    </row>
    <row r="10" ht="15.75" customHeight="1">
      <c r="B10" s="2" t="s">
        <v>4</v>
      </c>
      <c r="C10" s="8">
        <f>Optimistisch!C10</f>
        <v>260.174</v>
      </c>
      <c r="D10" s="8">
        <f>Optimistisch!D10</f>
        <v>274.515</v>
      </c>
      <c r="E10" s="8">
        <f>Optimistisch!E10</f>
        <v>365.817</v>
      </c>
      <c r="F10" s="8">
        <f>Optimistisch!F10</f>
        <v>394.328</v>
      </c>
      <c r="G10" s="8">
        <f>Optimistisch!G10</f>
        <v>383.285</v>
      </c>
      <c r="H10" s="9">
        <f>Optimistisch!H10</f>
        <v>395.94737</v>
      </c>
      <c r="I10" s="9">
        <f>Optimistisch!I10</f>
        <v>417.67312</v>
      </c>
      <c r="J10" s="9">
        <f>Optimistisch!J10</f>
        <v>446.26553</v>
      </c>
      <c r="K10" s="9">
        <f>(Optimistisch!K10+Pessimistisch!K10)/2</f>
        <v>478.6197809</v>
      </c>
      <c r="L10" s="9">
        <f>(Optimistisch!L10+Pessimistisch!L10)/2</f>
        <v>504.9996521</v>
      </c>
      <c r="M10" s="9">
        <f>(Optimistisch!M10+Pessimistisch!M10)/2</f>
        <v>515.1530017</v>
      </c>
      <c r="N10" s="8"/>
      <c r="O10" s="8"/>
      <c r="P10" s="8"/>
      <c r="Q10" s="8"/>
      <c r="R10" s="8"/>
    </row>
    <row r="11" ht="15.75" customHeight="1">
      <c r="B11" s="2" t="s">
        <v>31</v>
      </c>
      <c r="C11" s="11">
        <f t="shared" ref="C11:G11" si="2">C12/C10</f>
        <v>0.2263715821</v>
      </c>
      <c r="D11" s="11">
        <f t="shared" si="2"/>
        <v>0.2672531556</v>
      </c>
      <c r="E11" s="11">
        <f t="shared" si="2"/>
        <v>0.2540969939</v>
      </c>
      <c r="F11" s="11">
        <f t="shared" si="2"/>
        <v>0.2800790205</v>
      </c>
      <c r="G11" s="11">
        <f t="shared" si="2"/>
        <v>0.2598171074</v>
      </c>
      <c r="H11" s="12">
        <v>0.2749</v>
      </c>
      <c r="I11" s="12">
        <v>0.2799</v>
      </c>
      <c r="J11" s="12">
        <v>0.2905</v>
      </c>
      <c r="K11" s="12">
        <v>0.265</v>
      </c>
      <c r="L11" s="12">
        <v>0.3</v>
      </c>
      <c r="M11" s="12">
        <v>0.315</v>
      </c>
      <c r="N11" s="11"/>
      <c r="O11" s="11"/>
      <c r="P11" s="11"/>
      <c r="Q11" s="11"/>
      <c r="R11" s="11"/>
    </row>
    <row r="12" ht="15.75" customHeight="1">
      <c r="B12" s="2" t="s">
        <v>32</v>
      </c>
      <c r="C12" s="8">
        <v>58.896</v>
      </c>
      <c r="D12" s="8">
        <v>73.365</v>
      </c>
      <c r="E12" s="8">
        <v>92.953</v>
      </c>
      <c r="F12" s="8">
        <v>110.443</v>
      </c>
      <c r="G12" s="8">
        <v>99.584</v>
      </c>
      <c r="H12" s="9">
        <f t="shared" ref="H12:M12" si="3">H10*H11</f>
        <v>108.845932</v>
      </c>
      <c r="I12" s="9">
        <f t="shared" si="3"/>
        <v>116.9067063</v>
      </c>
      <c r="J12" s="9">
        <f t="shared" si="3"/>
        <v>129.6401365</v>
      </c>
      <c r="K12" s="9">
        <f t="shared" si="3"/>
        <v>126.8342419</v>
      </c>
      <c r="L12" s="9">
        <f t="shared" si="3"/>
        <v>151.4998956</v>
      </c>
      <c r="M12" s="9">
        <f t="shared" si="3"/>
        <v>162.2731955</v>
      </c>
      <c r="N12" s="8"/>
      <c r="O12" s="8"/>
      <c r="P12" s="8"/>
      <c r="Q12" s="8"/>
      <c r="R12" s="8"/>
    </row>
    <row r="13" ht="15.75" customHeight="1">
      <c r="F13" s="13" t="s">
        <v>33</v>
      </c>
      <c r="G13" s="14"/>
      <c r="H13" s="15">
        <f>H12/(1+$B$37)</f>
        <v>101.5081892</v>
      </c>
      <c r="I13" s="15">
        <f>I12/(1+$B$37)^2</f>
        <v>101.6757024</v>
      </c>
      <c r="J13" s="15">
        <f>J12/(1+$B$37)^3</f>
        <v>105.1492342</v>
      </c>
      <c r="K13" s="15">
        <f>K12/(1+$B$37)^4</f>
        <v>95.9383026</v>
      </c>
      <c r="L13" s="15">
        <f>L12/(1+$B$37)^5</f>
        <v>106.8702252</v>
      </c>
      <c r="M13" s="16">
        <f>(M12/(B37-B39))/(1+B37)^5</f>
        <v>2189.252194</v>
      </c>
      <c r="N13" s="8"/>
      <c r="O13" s="8"/>
      <c r="P13" s="8"/>
      <c r="Q13" s="8"/>
      <c r="R13" s="8"/>
    </row>
    <row r="14" ht="15.75" customHeight="1"/>
    <row r="15" ht="15.75" customHeight="1">
      <c r="A15" s="17" t="s">
        <v>13</v>
      </c>
      <c r="B15" s="18"/>
    </row>
    <row r="16" ht="15.75" customHeight="1">
      <c r="B16" s="19"/>
    </row>
    <row r="17" ht="15.75" customHeight="1">
      <c r="A17" s="2" t="s">
        <v>14</v>
      </c>
      <c r="B17" s="21">
        <f>Optimistisch!B21</f>
        <v>0.04141</v>
      </c>
    </row>
    <row r="18" ht="15.75" customHeight="1">
      <c r="B18" s="19"/>
    </row>
    <row r="19" ht="15.75" customHeight="1">
      <c r="A19" s="2" t="s">
        <v>15</v>
      </c>
      <c r="B19" s="21">
        <f>(B21-B17)*B23</f>
        <v>0.0308772</v>
      </c>
    </row>
    <row r="20" ht="15.75" customHeight="1">
      <c r="B20" s="19"/>
    </row>
    <row r="21" ht="15.75" customHeight="1">
      <c r="A21" s="2" t="s">
        <v>16</v>
      </c>
      <c r="B21" s="21">
        <f>Optimistisch!B25</f>
        <v>0.07</v>
      </c>
    </row>
    <row r="22" ht="15.75" customHeight="1">
      <c r="B22" s="19"/>
    </row>
    <row r="23" ht="15.75" customHeight="1">
      <c r="A23" s="2" t="s">
        <v>17</v>
      </c>
      <c r="B23" s="22">
        <f>Optimistisch!B27</f>
        <v>1.08</v>
      </c>
    </row>
    <row r="24" ht="15.75" customHeight="1">
      <c r="B24" s="19"/>
    </row>
    <row r="25" ht="15.75" customHeight="1">
      <c r="A25" s="23" t="s">
        <v>18</v>
      </c>
      <c r="B25" s="24">
        <f>B17+(B21-B17)*B23</f>
        <v>0.0722872</v>
      </c>
    </row>
    <row r="26" ht="15.75" customHeight="1"/>
    <row r="27" ht="15.75" customHeight="1">
      <c r="A27" s="29" t="s">
        <v>34</v>
      </c>
      <c r="B27" s="18"/>
    </row>
    <row r="28" ht="15.75" customHeight="1">
      <c r="A28" s="31"/>
      <c r="B28" s="19"/>
    </row>
    <row r="29" ht="15.75" customHeight="1">
      <c r="A29" s="31" t="s">
        <v>35</v>
      </c>
      <c r="B29" s="22">
        <f>C42</f>
        <v>2992.66054</v>
      </c>
    </row>
    <row r="30" ht="15.75" customHeight="1">
      <c r="A30" s="31"/>
      <c r="B30" s="19"/>
    </row>
    <row r="31" ht="15.75" customHeight="1">
      <c r="A31" s="31" t="s">
        <v>36</v>
      </c>
      <c r="B31" s="22">
        <v>0.0</v>
      </c>
    </row>
    <row r="32" ht="15.75" customHeight="1">
      <c r="A32" s="31"/>
      <c r="B32" s="19"/>
    </row>
    <row r="33" ht="15.75" customHeight="1">
      <c r="A33" s="31" t="s">
        <v>37</v>
      </c>
      <c r="B33" s="21">
        <v>0.0</v>
      </c>
    </row>
    <row r="34" ht="15.75" customHeight="1">
      <c r="A34" s="31"/>
      <c r="B34" s="19"/>
    </row>
    <row r="35" ht="15.75" customHeight="1">
      <c r="A35" s="31" t="s">
        <v>38</v>
      </c>
      <c r="B35" s="21">
        <v>0.21</v>
      </c>
    </row>
    <row r="36" ht="15.75" customHeight="1">
      <c r="A36" s="31"/>
      <c r="B36" s="19"/>
    </row>
    <row r="37" ht="15.75" customHeight="1">
      <c r="A37" s="35" t="s">
        <v>39</v>
      </c>
      <c r="B37" s="24">
        <f>B25*(B29/(B29+B31))+B33*(B31/(B29+B31))*(1-B35)</f>
        <v>0.0722872</v>
      </c>
    </row>
    <row r="38" ht="15.75" customHeight="1">
      <c r="B38" s="11"/>
    </row>
    <row r="39" ht="15.75" customHeight="1">
      <c r="A39" s="2" t="s">
        <v>40</v>
      </c>
      <c r="B39" s="11">
        <v>0.02</v>
      </c>
    </row>
    <row r="40" ht="15.75" customHeight="1"/>
    <row r="41" ht="15.75" customHeight="1">
      <c r="A41" s="3"/>
      <c r="B41" s="3"/>
      <c r="C41" s="25">
        <f>Optimistisch!C31</f>
        <v>45317</v>
      </c>
      <c r="D41" s="26" t="s">
        <v>19</v>
      </c>
    </row>
    <row r="42" ht="15.75" customHeight="1">
      <c r="A42" s="6" t="s">
        <v>20</v>
      </c>
      <c r="B42" s="6" t="s">
        <v>21</v>
      </c>
      <c r="C42" s="9">
        <f>C43*C44</f>
        <v>2992.66054</v>
      </c>
      <c r="D42" s="9">
        <f>SUM(H13:M13)-B31</f>
        <v>2700.393848</v>
      </c>
    </row>
    <row r="43" ht="15.75" customHeight="1">
      <c r="A43" s="6"/>
      <c r="B43" s="6" t="s">
        <v>22</v>
      </c>
      <c r="C43" s="9">
        <f>Optimistisch!C33</f>
        <v>15.552752</v>
      </c>
      <c r="D43" s="9">
        <f>C43</f>
        <v>15.552752</v>
      </c>
    </row>
    <row r="44" ht="15.75" customHeight="1">
      <c r="A44" s="6"/>
      <c r="B44" s="6" t="s">
        <v>23</v>
      </c>
      <c r="C44" s="9">
        <f>Optimistisch!C34</f>
        <v>192.42</v>
      </c>
      <c r="D44" s="9">
        <f>D42/D43</f>
        <v>173.6280401</v>
      </c>
    </row>
    <row r="45" ht="15.75" customHeight="1">
      <c r="A45" s="6"/>
      <c r="B45" s="6" t="s">
        <v>24</v>
      </c>
      <c r="C45" s="6"/>
      <c r="D45" s="12">
        <f>IF(C44/D44-1&gt;0,0,C44/D44-1)*-1</f>
        <v>0</v>
      </c>
    </row>
    <row r="46" ht="15.75" customHeight="1">
      <c r="A46" s="6"/>
      <c r="B46" s="6" t="s">
        <v>25</v>
      </c>
      <c r="C46" s="6"/>
      <c r="D46" s="12">
        <f>IF(C44/D44-1&lt;0,0,C44/D44-1)</f>
        <v>0.1082311352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