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Hc0rPErmGWqpEAp6nmmsCPgt6jjuvjS12bz/CVvlYY4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<sst xmlns="http://schemas.openxmlformats.org/spreadsheetml/2006/main" count="118" uniqueCount="41">
  <si>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</si>
  <si>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Vetoquinol</t>
  </si>
  <si>
    <t>Alle Angaben in Mio.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</si>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</sst>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2018.0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v>367.941</v>
      </c>
      <c r="D10" s="7">
        <v>395.99</v>
      </c>
      <c r="E10" s="7">
        <v>427.467</v>
      </c>
      <c r="F10" s="7">
        <v>521.272</v>
      </c>
      <c r="G10" s="7">
        <v>539.779</v>
      </c>
      <c r="H10" s="8">
        <v>532.84</v>
      </c>
      <c r="I10" s="8">
        <v>558.87</v>
      </c>
      <c r="J10" s="8">
        <v>588.13</v>
      </c>
      <c r="K10" s="8">
        <f t="shared" ref="K10:R10" si="2">J10*(1+K11)</f>
        <v>632.23975</v>
      </c>
      <c r="L10" s="8">
        <f t="shared" si="2"/>
        <v>676.4965325</v>
      </c>
      <c r="M10" s="8">
        <f t="shared" si="2"/>
        <v>720.4688071</v>
      </c>
      <c r="N10" s="8">
        <f t="shared" si="2"/>
        <v>763.6969355</v>
      </c>
      <c r="O10" s="8">
        <f t="shared" si="2"/>
        <v>805.700267</v>
      </c>
      <c r="P10" s="8">
        <f t="shared" si="2"/>
        <v>845.9852803</v>
      </c>
      <c r="Q10" s="8">
        <f t="shared" si="2"/>
        <v>884.054618</v>
      </c>
      <c r="R10" s="8">
        <f t="shared" si="2"/>
        <v>901.7357103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0.07623233073</v>
      </c>
      <c r="E11" s="10">
        <f t="shared" si="3"/>
        <v>0.07948938104</v>
      </c>
      <c r="F11" s="10">
        <f t="shared" si="3"/>
        <v>0.2194438401</v>
      </c>
      <c r="G11" s="10">
        <f t="shared" si="3"/>
        <v>0.0355035375</v>
      </c>
      <c r="H11" s="11">
        <f t="shared" si="3"/>
        <v>-0.01285526113</v>
      </c>
      <c r="I11" s="11">
        <f t="shared" si="3"/>
        <v>0.04885143758</v>
      </c>
      <c r="J11" s="11">
        <f t="shared" si="3"/>
        <v>0.05235564621</v>
      </c>
      <c r="K11" s="11">
        <v>0.075</v>
      </c>
      <c r="L11" s="11">
        <v>0.07</v>
      </c>
      <c r="M11" s="11">
        <v>0.065</v>
      </c>
      <c r="N11" s="11">
        <v>0.06</v>
      </c>
      <c r="O11" s="11">
        <v>0.055</v>
      </c>
      <c r="P11" s="11">
        <v>0.05</v>
      </c>
      <c r="Q11" s="11">
        <v>0.045</v>
      </c>
      <c r="R11" s="11">
        <v>0.02</v>
      </c>
    </row>
    <row r="12" ht="15.75" customHeight="1">
      <c r="B12" s="2" t="s">
        <v>7</v>
      </c>
      <c r="C12" s="10">
        <f t="shared" ref="C12:J12" si="4">C13/C10</f>
        <v>0.1316379528</v>
      </c>
      <c r="D12" s="10">
        <f t="shared" si="4"/>
        <v>0.1159195939</v>
      </c>
      <c r="E12" s="10">
        <f t="shared" si="4"/>
        <v>0.13138792</v>
      </c>
      <c r="F12" s="10">
        <f t="shared" si="4"/>
        <v>0.1664390184</v>
      </c>
      <c r="G12" s="10">
        <f t="shared" si="4"/>
        <v>0.1566585584</v>
      </c>
      <c r="H12" s="11">
        <f t="shared" si="4"/>
        <v>0.1423</v>
      </c>
      <c r="I12" s="11">
        <f t="shared" si="4"/>
        <v>0.1556</v>
      </c>
      <c r="J12" s="11">
        <f t="shared" si="4"/>
        <v>0.1579</v>
      </c>
      <c r="K12" s="11">
        <v>0.16</v>
      </c>
      <c r="L12" s="11">
        <v>0.1625</v>
      </c>
      <c r="M12" s="11">
        <v>0.1675</v>
      </c>
      <c r="N12" s="11">
        <v>0.135</v>
      </c>
      <c r="O12" s="11">
        <v>0.175</v>
      </c>
      <c r="P12" s="11">
        <v>0.185</v>
      </c>
      <c r="Q12" s="11">
        <v>0.195</v>
      </c>
      <c r="R12" s="11">
        <v>0.17</v>
      </c>
    </row>
    <row r="13" ht="15.75" customHeight="1">
      <c r="B13" s="2" t="s">
        <v>8</v>
      </c>
      <c r="C13" s="7">
        <v>48.435</v>
      </c>
      <c r="D13" s="7">
        <v>45.903</v>
      </c>
      <c r="E13" s="7">
        <v>56.164</v>
      </c>
      <c r="F13" s="7">
        <v>86.76</v>
      </c>
      <c r="G13" s="7">
        <v>84.561</v>
      </c>
      <c r="H13" s="8">
        <v>75.82313200000002</v>
      </c>
      <c r="I13" s="8">
        <v>86.960172</v>
      </c>
      <c r="J13" s="8">
        <v>92.865727</v>
      </c>
      <c r="K13" s="8">
        <f t="shared" ref="K13:R13" si="5">K10*K12</f>
        <v>101.15836</v>
      </c>
      <c r="L13" s="8">
        <f t="shared" si="5"/>
        <v>109.9306865</v>
      </c>
      <c r="M13" s="8">
        <f t="shared" si="5"/>
        <v>120.6785252</v>
      </c>
      <c r="N13" s="8">
        <f t="shared" si="5"/>
        <v>103.0990863</v>
      </c>
      <c r="O13" s="8">
        <f t="shared" si="5"/>
        <v>140.9975467</v>
      </c>
      <c r="P13" s="8">
        <f t="shared" si="5"/>
        <v>156.5072769</v>
      </c>
      <c r="Q13" s="8">
        <f t="shared" si="5"/>
        <v>172.3906505</v>
      </c>
      <c r="R13" s="8">
        <f t="shared" si="5"/>
        <v>153.2950708</v>
      </c>
    </row>
    <row r="14" ht="15.75" customHeight="1">
      <c r="A14" s="11">
        <v>0.3</v>
      </c>
      <c r="B14" s="2" t="s">
        <v>9</v>
      </c>
      <c r="C14" s="7">
        <v>36.259</v>
      </c>
      <c r="D14" s="7">
        <v>28.589</v>
      </c>
      <c r="E14" s="7">
        <v>19.221</v>
      </c>
      <c r="F14" s="7">
        <v>62.861</v>
      </c>
      <c r="G14" s="7">
        <v>47.995</v>
      </c>
      <c r="H14" s="8">
        <v>55.788348000000006</v>
      </c>
      <c r="I14" s="8">
        <v>60.469734</v>
      </c>
      <c r="J14" s="8">
        <v>66.105812</v>
      </c>
      <c r="K14" s="8">
        <f t="shared" ref="K14:R14" si="6">K13*(1-$A$14)</f>
        <v>70.810852</v>
      </c>
      <c r="L14" s="8">
        <f t="shared" si="6"/>
        <v>76.95148057</v>
      </c>
      <c r="M14" s="8">
        <f t="shared" si="6"/>
        <v>84.47496763</v>
      </c>
      <c r="N14" s="8">
        <f t="shared" si="6"/>
        <v>72.16936041</v>
      </c>
      <c r="O14" s="8">
        <f t="shared" si="6"/>
        <v>98.69828271</v>
      </c>
      <c r="P14" s="8">
        <f t="shared" si="6"/>
        <v>109.5550938</v>
      </c>
      <c r="Q14" s="8">
        <f t="shared" si="6"/>
        <v>120.6734554</v>
      </c>
      <c r="R14" s="8">
        <f t="shared" si="6"/>
        <v>107.3065495</v>
      </c>
    </row>
    <row r="15" ht="15.75" customHeight="1">
      <c r="A15" s="11">
        <v>0.99</v>
      </c>
      <c r="B15" s="2" t="s">
        <v>10</v>
      </c>
      <c r="H15" s="8">
        <f>C33</f>
        <v>11.881902</v>
      </c>
      <c r="I15" s="8">
        <f t="shared" ref="I15:Q15" si="7">H15*$A$15</f>
        <v>11.76308298</v>
      </c>
      <c r="J15" s="8">
        <f t="shared" si="7"/>
        <v>11.64545215</v>
      </c>
      <c r="K15" s="8">
        <f t="shared" si="7"/>
        <v>11.52899763</v>
      </c>
      <c r="L15" s="8">
        <f t="shared" si="7"/>
        <v>11.41370765</v>
      </c>
      <c r="M15" s="8">
        <f t="shared" si="7"/>
        <v>11.29957058</v>
      </c>
      <c r="N15" s="8">
        <f t="shared" si="7"/>
        <v>11.18657487</v>
      </c>
      <c r="O15" s="8">
        <f t="shared" si="7"/>
        <v>11.07470912</v>
      </c>
      <c r="P15" s="8">
        <f t="shared" si="7"/>
        <v>10.96396203</v>
      </c>
      <c r="Q15" s="8">
        <f t="shared" si="7"/>
        <v>10.85432241</v>
      </c>
      <c r="R15" s="6" t="s">
        <v>6</v>
      </c>
    </row>
    <row r="16" ht="15.75" customHeight="1">
      <c r="B16" s="2" t="s">
        <v>11</v>
      </c>
      <c r="H16" s="8">
        <f t="shared" ref="H16:Q16" si="8">H14/H15</f>
        <v>4.695237177</v>
      </c>
      <c r="I16" s="8">
        <f t="shared" si="8"/>
        <v>5.140636524</v>
      </c>
      <c r="J16" s="8">
        <f t="shared" si="8"/>
        <v>5.676534595</v>
      </c>
      <c r="K16" s="8">
        <f t="shared" si="8"/>
        <v>6.141978191</v>
      </c>
      <c r="L16" s="8">
        <f t="shared" si="8"/>
        <v>6.742023093</v>
      </c>
      <c r="M16" s="8">
        <f t="shared" si="8"/>
        <v>7.475944954</v>
      </c>
      <c r="N16" s="8">
        <f t="shared" si="8"/>
        <v>6.451426039</v>
      </c>
      <c r="O16" s="8">
        <f t="shared" si="8"/>
        <v>8.912042892</v>
      </c>
      <c r="P16" s="8">
        <f t="shared" si="8"/>
        <v>9.992290515</v>
      </c>
      <c r="Q16" s="8">
        <f t="shared" si="8"/>
        <v>11.11754846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52.43795097</v>
      </c>
      <c r="I17" s="14">
        <f>I14/(1+$B$29)^2</f>
        <v>53.42474795</v>
      </c>
      <c r="J17" s="14">
        <f>J14/(1+$B$29)^3</f>
        <v>54.89670522</v>
      </c>
      <c r="K17" s="14">
        <f>K14/(1+$B$29)^4</f>
        <v>55.27244387</v>
      </c>
      <c r="L17" s="14">
        <f>L14/(1+$B$29)^5</f>
        <v>56.45833152</v>
      </c>
      <c r="M17" s="14">
        <f>M14/(1+$B$29)^6</f>
        <v>58.25608635</v>
      </c>
      <c r="N17" s="14">
        <f>N14/(1+$B$29)^7</f>
        <v>46.78087488</v>
      </c>
      <c r="O17" s="14">
        <f>O14/(1+$B$29)^8</f>
        <v>60.13499667</v>
      </c>
      <c r="P17" s="14">
        <f>P14/(1+$B$29)^9</f>
        <v>62.74115104</v>
      </c>
      <c r="Q17" s="14">
        <f>Q14/(1+$B$29)^10</f>
        <v>64.95818282</v>
      </c>
      <c r="R17" s="15">
        <f>(R14/(B29-R11))/(1+B29)^10</f>
        <v>1316.003492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0.02302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0.0408726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0.87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0.0638926</v>
      </c>
    </row>
    <row r="30" ht="15.75" customHeight="1"/>
    <row r="31" ht="15.75" customHeight="1">
      <c r="A31" s="3"/>
      <c r="B31" s="3"/>
      <c r="C31" s="24">
        <v>45310.0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1264.234373</v>
      </c>
      <c r="D32" s="8">
        <f>SUM(H17:R17)</f>
        <v>1881.364963</v>
      </c>
    </row>
    <row r="33" ht="15.75" customHeight="1">
      <c r="A33" s="5"/>
      <c r="B33" s="5" t="s">
        <v>22</v>
      </c>
      <c r="C33" s="8">
        <f>11.881902</f>
        <v>11.881902</v>
      </c>
      <c r="D33" s="8">
        <f>C33</f>
        <v>11.881902</v>
      </c>
    </row>
    <row r="34" ht="15.75" customHeight="1">
      <c r="A34" s="5"/>
      <c r="B34" s="5" t="s">
        <v>23</v>
      </c>
      <c r="C34" s="26">
        <v>106.4</v>
      </c>
      <c r="D34" s="8">
        <f>D32/D33</f>
        <v>158.338704</v>
      </c>
    </row>
    <row r="35" ht="15.75" customHeight="1">
      <c r="A35" s="5"/>
      <c r="B35" s="5" t="s">
        <v>24</v>
      </c>
      <c r="C35" s="5"/>
      <c r="D35" s="11">
        <f>IF(C34/D34-1&gt;0,0,C34/D34-1)*-1</f>
        <v>0.3280227933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24.0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266.8211629</v>
      </c>
    </row>
    <row r="43" ht="15.75" customHeight="1">
      <c r="A43" s="30"/>
      <c r="D43" s="18"/>
    </row>
    <row r="44" ht="15.75" customHeight="1">
      <c r="A44" s="30" t="s">
        <v>27</v>
      </c>
      <c r="D44" s="20">
        <v>0.3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21.70369873</v>
      </c>
    </row>
    <row r="47" ht="15.75" customHeight="1">
      <c r="A47" s="30"/>
      <c r="D47" s="18"/>
    </row>
    <row r="48" ht="15.75" customHeight="1">
      <c r="A48" s="30" t="s">
        <v>29</v>
      </c>
      <c r="D48" s="20">
        <v>0.128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285.7467882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1.685590115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0.1038345236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Vetoquinol</v>
      </c>
    </row>
    <row r="5" ht="15.75" customHeight="1"/>
    <row r="6" ht="15.75" customHeight="1">
      <c r="B6" s="2" t="str">
        <f>Optimistisch!B6</f>
        <v>Alle Angaben in Mio.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2018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f>Optimistisch!C10</f>
        <v>367.941</v>
      </c>
      <c r="D10" s="7">
        <f>Optimistisch!D10</f>
        <v>395.99</v>
      </c>
      <c r="E10" s="7">
        <f>Optimistisch!E10</f>
        <v>427.467</v>
      </c>
      <c r="F10" s="7">
        <f>Optimistisch!F10</f>
        <v>521.272</v>
      </c>
      <c r="G10" s="7">
        <f>Optimistisch!G10</f>
        <v>539.779</v>
      </c>
      <c r="H10" s="8">
        <f>Optimistisch!H10</f>
        <v>532.84</v>
      </c>
      <c r="I10" s="8">
        <f>Optimistisch!I10</f>
        <v>558.87</v>
      </c>
      <c r="J10" s="8">
        <f>Optimistisch!J10</f>
        <v>588.13</v>
      </c>
      <c r="K10" s="8">
        <f t="shared" ref="K10:R10" si="2">J10*(1+K11)</f>
        <v>614.59585</v>
      </c>
      <c r="L10" s="8">
        <f t="shared" si="2"/>
        <v>651.471601</v>
      </c>
      <c r="M10" s="8">
        <f t="shared" si="2"/>
        <v>687.3025391</v>
      </c>
      <c r="N10" s="8">
        <f t="shared" si="2"/>
        <v>697.6120771</v>
      </c>
      <c r="O10" s="8">
        <f t="shared" si="2"/>
        <v>729.0046206</v>
      </c>
      <c r="P10" s="8">
        <f t="shared" si="2"/>
        <v>754.5197823</v>
      </c>
      <c r="Q10" s="8">
        <f t="shared" si="2"/>
        <v>777.1553758</v>
      </c>
      <c r="R10" s="8">
        <f t="shared" si="2"/>
        <v>784.9269296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0.07623233073</v>
      </c>
      <c r="E11" s="10">
        <f t="shared" si="3"/>
        <v>0.07948938104</v>
      </c>
      <c r="F11" s="10">
        <f t="shared" si="3"/>
        <v>0.2194438401</v>
      </c>
      <c r="G11" s="10">
        <f t="shared" si="3"/>
        <v>0.0355035375</v>
      </c>
      <c r="H11" s="11">
        <f t="shared" si="3"/>
        <v>-0.01285526113</v>
      </c>
      <c r="I11" s="11">
        <f t="shared" si="3"/>
        <v>0.04885143758</v>
      </c>
      <c r="J11" s="11">
        <f t="shared" si="3"/>
        <v>0.05235564621</v>
      </c>
      <c r="K11" s="11">
        <v>0.045</v>
      </c>
      <c r="L11" s="11">
        <v>0.06</v>
      </c>
      <c r="M11" s="11">
        <v>0.055</v>
      </c>
      <c r="N11" s="11">
        <v>0.015</v>
      </c>
      <c r="O11" s="11">
        <v>0.045</v>
      </c>
      <c r="P11" s="11">
        <v>0.035</v>
      </c>
      <c r="Q11" s="11">
        <v>0.03</v>
      </c>
      <c r="R11" s="11">
        <v>0.01</v>
      </c>
    </row>
    <row r="12" ht="15.75" customHeight="1">
      <c r="B12" s="2" t="s">
        <v>7</v>
      </c>
      <c r="C12" s="10">
        <f t="shared" ref="C12:J12" si="4">C13/C10</f>
        <v>0.1316379528</v>
      </c>
      <c r="D12" s="10">
        <f t="shared" si="4"/>
        <v>0.1159195939</v>
      </c>
      <c r="E12" s="10">
        <f t="shared" si="4"/>
        <v>0.13138792</v>
      </c>
      <c r="F12" s="10">
        <f t="shared" si="4"/>
        <v>0.1664390184</v>
      </c>
      <c r="G12" s="10">
        <f t="shared" si="4"/>
        <v>0.1566585584</v>
      </c>
      <c r="H12" s="11">
        <f t="shared" si="4"/>
        <v>0.1423</v>
      </c>
      <c r="I12" s="11">
        <f t="shared" si="4"/>
        <v>0.1556</v>
      </c>
      <c r="J12" s="11">
        <f t="shared" si="4"/>
        <v>0.1579</v>
      </c>
      <c r="K12" s="11">
        <v>0.105</v>
      </c>
      <c r="L12" s="11">
        <v>0.145</v>
      </c>
      <c r="M12" s="11">
        <v>0.115</v>
      </c>
      <c r="N12" s="11">
        <v>0.15</v>
      </c>
      <c r="O12" s="11">
        <v>0.095</v>
      </c>
      <c r="P12" s="11"/>
      <c r="Q12" s="11">
        <v>0.155</v>
      </c>
      <c r="R12" s="11">
        <v>0.15</v>
      </c>
    </row>
    <row r="13" ht="15.75" customHeight="1">
      <c r="B13" s="2" t="s">
        <v>8</v>
      </c>
      <c r="C13" s="7">
        <f>Optimistisch!C13</f>
        <v>48.435</v>
      </c>
      <c r="D13" s="7">
        <f>Optimistisch!D13</f>
        <v>45.903</v>
      </c>
      <c r="E13" s="7">
        <f>Optimistisch!E13</f>
        <v>56.164</v>
      </c>
      <c r="F13" s="7">
        <f>Optimistisch!F13</f>
        <v>86.76</v>
      </c>
      <c r="G13" s="7">
        <f>Optimistisch!G13</f>
        <v>84.561</v>
      </c>
      <c r="H13" s="8">
        <f>Optimistisch!H13</f>
        <v>75.823132</v>
      </c>
      <c r="I13" s="8">
        <f>Optimistisch!I13</f>
        <v>86.960172</v>
      </c>
      <c r="J13" s="8">
        <f>Optimistisch!J13</f>
        <v>92.865727</v>
      </c>
      <c r="K13" s="8">
        <f t="shared" ref="K13:R13" si="5">K10*K12</f>
        <v>64.53256425</v>
      </c>
      <c r="L13" s="8">
        <f t="shared" si="5"/>
        <v>94.46338215</v>
      </c>
      <c r="M13" s="8">
        <f t="shared" si="5"/>
        <v>79.03979199</v>
      </c>
      <c r="N13" s="8">
        <f t="shared" si="5"/>
        <v>104.6418116</v>
      </c>
      <c r="O13" s="8">
        <f t="shared" si="5"/>
        <v>69.25543896</v>
      </c>
      <c r="P13" s="8">
        <f t="shared" si="5"/>
        <v>0</v>
      </c>
      <c r="Q13" s="8">
        <f t="shared" si="5"/>
        <v>120.4590832</v>
      </c>
      <c r="R13" s="8">
        <f t="shared" si="5"/>
        <v>117.7390394</v>
      </c>
    </row>
    <row r="14" ht="15.75" customHeight="1">
      <c r="A14" s="11">
        <v>0.35</v>
      </c>
      <c r="B14" s="2" t="s">
        <v>9</v>
      </c>
      <c r="C14" s="7">
        <f>Optimistisch!C14</f>
        <v>36.259</v>
      </c>
      <c r="D14" s="7">
        <f>Optimistisch!D14</f>
        <v>28.589</v>
      </c>
      <c r="E14" s="7">
        <f>Optimistisch!E14</f>
        <v>19.221</v>
      </c>
      <c r="F14" s="7">
        <f>Optimistisch!F14</f>
        <v>62.861</v>
      </c>
      <c r="G14" s="7">
        <f>Optimistisch!G14</f>
        <v>47.995</v>
      </c>
      <c r="H14" s="8">
        <f>Optimistisch!H14</f>
        <v>55.788348</v>
      </c>
      <c r="I14" s="8">
        <f>Optimistisch!I14</f>
        <v>60.469734</v>
      </c>
      <c r="J14" s="8">
        <f>Optimistisch!J14</f>
        <v>66.105812</v>
      </c>
      <c r="K14" s="8">
        <f t="shared" ref="K14:R14" si="6">K13*(1-$A$14)</f>
        <v>41.94616676</v>
      </c>
      <c r="L14" s="8">
        <f t="shared" si="6"/>
        <v>61.40119839</v>
      </c>
      <c r="M14" s="8">
        <f t="shared" si="6"/>
        <v>51.37586479</v>
      </c>
      <c r="N14" s="8">
        <f t="shared" si="6"/>
        <v>68.01717752</v>
      </c>
      <c r="O14" s="8">
        <f t="shared" si="6"/>
        <v>45.01603532</v>
      </c>
      <c r="P14" s="8">
        <f t="shared" si="6"/>
        <v>0</v>
      </c>
      <c r="Q14" s="8">
        <f t="shared" si="6"/>
        <v>78.29840411</v>
      </c>
      <c r="R14" s="8">
        <f t="shared" si="6"/>
        <v>76.53037563</v>
      </c>
    </row>
    <row r="15" ht="15.75" customHeight="1">
      <c r="A15" s="11">
        <v>1.0</v>
      </c>
      <c r="B15" s="2" t="s">
        <v>10</v>
      </c>
      <c r="H15" s="8">
        <f>C33</f>
        <v>11.881902</v>
      </c>
      <c r="I15" s="8">
        <f t="shared" ref="I15:Q15" si="7">H15*$A$15</f>
        <v>11.881902</v>
      </c>
      <c r="J15" s="8">
        <f t="shared" si="7"/>
        <v>11.881902</v>
      </c>
      <c r="K15" s="8">
        <f t="shared" si="7"/>
        <v>11.881902</v>
      </c>
      <c r="L15" s="8">
        <f t="shared" si="7"/>
        <v>11.881902</v>
      </c>
      <c r="M15" s="8">
        <f t="shared" si="7"/>
        <v>11.881902</v>
      </c>
      <c r="N15" s="8">
        <f t="shared" si="7"/>
        <v>11.881902</v>
      </c>
      <c r="O15" s="8">
        <f t="shared" si="7"/>
        <v>11.881902</v>
      </c>
      <c r="P15" s="8">
        <f t="shared" si="7"/>
        <v>11.881902</v>
      </c>
      <c r="Q15" s="8">
        <f t="shared" si="7"/>
        <v>11.881902</v>
      </c>
      <c r="R15" s="6" t="s">
        <v>6</v>
      </c>
    </row>
    <row r="16" ht="15.75" customHeight="1">
      <c r="B16" s="2" t="s">
        <v>11</v>
      </c>
      <c r="H16" s="8">
        <f t="shared" ref="H16:Q16" si="8">H14/H15</f>
        <v>4.695237177</v>
      </c>
      <c r="I16" s="8">
        <f t="shared" si="8"/>
        <v>5.089230159</v>
      </c>
      <c r="J16" s="8">
        <f t="shared" si="8"/>
        <v>5.563571556</v>
      </c>
      <c r="K16" s="8">
        <f t="shared" si="8"/>
        <v>3.53025692</v>
      </c>
      <c r="L16" s="8">
        <f t="shared" si="8"/>
        <v>5.167623702</v>
      </c>
      <c r="M16" s="8">
        <f t="shared" si="8"/>
        <v>4.323875487</v>
      </c>
      <c r="N16" s="8">
        <f t="shared" si="8"/>
        <v>5.724435155</v>
      </c>
      <c r="O16" s="8">
        <f t="shared" si="8"/>
        <v>3.788622</v>
      </c>
      <c r="P16" s="8">
        <f t="shared" si="8"/>
        <v>0</v>
      </c>
      <c r="Q16" s="8">
        <f t="shared" si="8"/>
        <v>6.589719736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52.43795097</v>
      </c>
      <c r="I17" s="14">
        <f>I14/(1+$B$29)^2</f>
        <v>53.42474795</v>
      </c>
      <c r="J17" s="14">
        <f>J14/(1+$B$29)^3</f>
        <v>54.89670522</v>
      </c>
      <c r="K17" s="14">
        <f>K14/(1+$B$29)^4</f>
        <v>32.74169259</v>
      </c>
      <c r="L17" s="14">
        <f>L14/(1+$B$29)^5</f>
        <v>45.04928546</v>
      </c>
      <c r="M17" s="14">
        <f>M14/(1+$B$29)^6</f>
        <v>35.43010313</v>
      </c>
      <c r="N17" s="14">
        <f>N14/(1+$B$29)^7</f>
        <v>44.08938992</v>
      </c>
      <c r="O17" s="14">
        <f>O14/(1+$B$29)^8</f>
        <v>27.4274188</v>
      </c>
      <c r="P17" s="14">
        <f>P14/(1+$B$29)^9</f>
        <v>0</v>
      </c>
      <c r="Q17" s="14">
        <f>Q14/(1+$B$29)^10</f>
        <v>42.1478115</v>
      </c>
      <c r="R17" s="15">
        <f>(R14/(B29-R11))/(1+B29)^10</f>
        <v>764.410823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0.02302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0.0408726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0.87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0.0638926</v>
      </c>
    </row>
    <row r="30" ht="15.75" customHeight="1"/>
    <row r="31" ht="15.75" customHeight="1">
      <c r="A31" s="3"/>
      <c r="B31" s="3"/>
      <c r="C31" s="24">
        <f>Optimistisch!C31</f>
        <v>45310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1264.234373</v>
      </c>
      <c r="D32" s="8">
        <f>SUM(H17:R17)</f>
        <v>1152.055929</v>
      </c>
    </row>
    <row r="33" ht="15.75" customHeight="1">
      <c r="A33" s="5"/>
      <c r="B33" s="5" t="s">
        <v>22</v>
      </c>
      <c r="C33" s="8">
        <f>Optimistisch!C33</f>
        <v>11.881902</v>
      </c>
      <c r="D33" s="8">
        <f>C33</f>
        <v>11.881902</v>
      </c>
    </row>
    <row r="34" ht="15.75" customHeight="1">
      <c r="A34" s="5"/>
      <c r="B34" s="5" t="s">
        <v>23</v>
      </c>
      <c r="C34" s="8">
        <f>Optimistisch!C34</f>
        <v>106.4</v>
      </c>
      <c r="D34" s="8">
        <f>D32/D33</f>
        <v>96.95888155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0.09737239438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19.0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125.204675</v>
      </c>
    </row>
    <row r="43" ht="15.75" customHeight="1">
      <c r="A43" s="30"/>
      <c r="D43" s="18"/>
    </row>
    <row r="44" ht="15.75" customHeight="1">
      <c r="A44" s="30" t="s">
        <v>27</v>
      </c>
      <c r="D44" s="20">
        <v>0.15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6.670885784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0.128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131.0216874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0.2314068364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0.02103388687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Vetoquinol</v>
      </c>
    </row>
    <row r="5" ht="15.75" customHeight="1"/>
    <row r="6" ht="15.75" customHeight="1">
      <c r="B6" s="2" t="str">
        <f>Optimistisch!B6</f>
        <v>Alle Angaben in Mio.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2018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f>Optimistisch!C10</f>
        <v>367.941</v>
      </c>
      <c r="D10" s="7">
        <f>Optimistisch!D10</f>
        <v>395.99</v>
      </c>
      <c r="E10" s="7">
        <f>Optimistisch!E10</f>
        <v>427.467</v>
      </c>
      <c r="F10" s="7">
        <f>Optimistisch!F10</f>
        <v>521.272</v>
      </c>
      <c r="G10" s="7">
        <f>Optimistisch!G10</f>
        <v>539.779</v>
      </c>
      <c r="H10" s="8">
        <f t="shared" ref="H10:R10" si="2">G10*(1+H11)</f>
        <v>543.8273425</v>
      </c>
      <c r="I10" s="8">
        <f t="shared" si="2"/>
        <v>547.9060476</v>
      </c>
      <c r="J10" s="8">
        <f t="shared" si="2"/>
        <v>552.0153429</v>
      </c>
      <c r="K10" s="8">
        <f t="shared" si="2"/>
        <v>556.155458</v>
      </c>
      <c r="L10" s="8">
        <f t="shared" si="2"/>
        <v>560.3266239</v>
      </c>
      <c r="M10" s="8">
        <f t="shared" si="2"/>
        <v>564.5290736</v>
      </c>
      <c r="N10" s="8">
        <f t="shared" si="2"/>
        <v>568.7630417</v>
      </c>
      <c r="O10" s="8">
        <f t="shared" si="2"/>
        <v>573.0287645</v>
      </c>
      <c r="P10" s="8">
        <f t="shared" si="2"/>
        <v>577.3264802</v>
      </c>
      <c r="Q10" s="8">
        <f t="shared" si="2"/>
        <v>581.6564288</v>
      </c>
      <c r="R10" s="8">
        <f t="shared" si="2"/>
        <v>586.018852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0.07623233073</v>
      </c>
      <c r="E11" s="10">
        <f t="shared" si="3"/>
        <v>0.07948938104</v>
      </c>
      <c r="F11" s="10">
        <f t="shared" si="3"/>
        <v>0.2194438401</v>
      </c>
      <c r="G11" s="10">
        <f t="shared" si="3"/>
        <v>0.0355035375</v>
      </c>
      <c r="H11" s="11">
        <v>0.0075</v>
      </c>
      <c r="I11" s="11">
        <f t="shared" ref="I11:Q11" si="4">$H$11</f>
        <v>0.0075</v>
      </c>
      <c r="J11" s="11">
        <f t="shared" si="4"/>
        <v>0.0075</v>
      </c>
      <c r="K11" s="11">
        <f t="shared" si="4"/>
        <v>0.0075</v>
      </c>
      <c r="L11" s="11">
        <f t="shared" si="4"/>
        <v>0.0075</v>
      </c>
      <c r="M11" s="11">
        <f t="shared" si="4"/>
        <v>0.0075</v>
      </c>
      <c r="N11" s="11">
        <f t="shared" si="4"/>
        <v>0.0075</v>
      </c>
      <c r="O11" s="11">
        <f t="shared" si="4"/>
        <v>0.0075</v>
      </c>
      <c r="P11" s="11">
        <f t="shared" si="4"/>
        <v>0.0075</v>
      </c>
      <c r="Q11" s="11">
        <f t="shared" si="4"/>
        <v>0.0075</v>
      </c>
      <c r="R11" s="11">
        <f>Q11</f>
        <v>0.0075</v>
      </c>
    </row>
    <row r="12" ht="15.75" customHeight="1">
      <c r="B12" s="2" t="s">
        <v>7</v>
      </c>
      <c r="C12" s="10">
        <f t="shared" ref="C12:G12" si="5">C13/C10</f>
        <v>0.1316379528</v>
      </c>
      <c r="D12" s="10">
        <f t="shared" si="5"/>
        <v>0.1159195939</v>
      </c>
      <c r="E12" s="10">
        <f t="shared" si="5"/>
        <v>0.13138792</v>
      </c>
      <c r="F12" s="10">
        <f t="shared" si="5"/>
        <v>0.1664390184</v>
      </c>
      <c r="G12" s="10">
        <f t="shared" si="5"/>
        <v>0.1566585584</v>
      </c>
      <c r="H12" s="11">
        <f>Optimistisch!H12</f>
        <v>0.1423</v>
      </c>
      <c r="I12" s="11">
        <f>Optimistisch!I12</f>
        <v>0.1556</v>
      </c>
      <c r="J12" s="11">
        <f>Optimistisch!J12</f>
        <v>0.1579</v>
      </c>
      <c r="K12" s="11">
        <f>Optimistisch!K12</f>
        <v>0.16</v>
      </c>
      <c r="L12" s="11">
        <f>Optimistisch!L12</f>
        <v>0.1625</v>
      </c>
      <c r="M12" s="11">
        <f>Optimistisch!M12</f>
        <v>0.1675</v>
      </c>
      <c r="N12" s="11">
        <f>Optimistisch!N12</f>
        <v>0.135</v>
      </c>
      <c r="O12" s="11">
        <f>Optimistisch!O12</f>
        <v>0.175</v>
      </c>
      <c r="P12" s="11">
        <f>Optimistisch!P12</f>
        <v>0.185</v>
      </c>
      <c r="Q12" s="11">
        <f>Optimistisch!Q12</f>
        <v>0.195</v>
      </c>
      <c r="R12" s="11">
        <f>Optimistisch!R12</f>
        <v>0.17</v>
      </c>
    </row>
    <row r="13" ht="15.75" customHeight="1">
      <c r="B13" s="2" t="s">
        <v>8</v>
      </c>
      <c r="C13" s="7">
        <f>Optimistisch!C13</f>
        <v>48.435</v>
      </c>
      <c r="D13" s="7">
        <f>Optimistisch!D13</f>
        <v>45.903</v>
      </c>
      <c r="E13" s="7">
        <f>Optimistisch!E13</f>
        <v>56.164</v>
      </c>
      <c r="F13" s="7">
        <f>Optimistisch!F13</f>
        <v>86.76</v>
      </c>
      <c r="G13" s="7">
        <f>Optimistisch!G13</f>
        <v>84.561</v>
      </c>
      <c r="H13" s="8">
        <f t="shared" ref="H13:R13" si="6">H10*H12</f>
        <v>77.38663084</v>
      </c>
      <c r="I13" s="8">
        <f t="shared" si="6"/>
        <v>85.254181</v>
      </c>
      <c r="J13" s="8">
        <f t="shared" si="6"/>
        <v>87.16322265</v>
      </c>
      <c r="K13" s="8">
        <f t="shared" si="6"/>
        <v>88.98487328</v>
      </c>
      <c r="L13" s="8">
        <f t="shared" si="6"/>
        <v>91.05307639</v>
      </c>
      <c r="M13" s="8">
        <f t="shared" si="6"/>
        <v>94.55861983</v>
      </c>
      <c r="N13" s="8">
        <f t="shared" si="6"/>
        <v>76.78301062</v>
      </c>
      <c r="O13" s="8">
        <f t="shared" si="6"/>
        <v>100.2800338</v>
      </c>
      <c r="P13" s="8">
        <f t="shared" si="6"/>
        <v>106.8053988</v>
      </c>
      <c r="Q13" s="8">
        <f t="shared" si="6"/>
        <v>113.4230036</v>
      </c>
      <c r="R13" s="8">
        <f t="shared" si="6"/>
        <v>99.62320484</v>
      </c>
    </row>
    <row r="14" ht="15.75" customHeight="1">
      <c r="A14" s="11">
        <f>Optimistisch!A14</f>
        <v>0.3</v>
      </c>
      <c r="B14" s="2" t="s">
        <v>9</v>
      </c>
      <c r="C14" s="7">
        <f>Optimistisch!C14</f>
        <v>36.259</v>
      </c>
      <c r="D14" s="7">
        <f>Optimistisch!D14</f>
        <v>28.589</v>
      </c>
      <c r="E14" s="7">
        <f>Optimistisch!E14</f>
        <v>19.221</v>
      </c>
      <c r="F14" s="7">
        <f>Optimistisch!F14</f>
        <v>62.861</v>
      </c>
      <c r="G14" s="7">
        <f>Optimistisch!G14</f>
        <v>47.995</v>
      </c>
      <c r="H14" s="8">
        <f t="shared" ref="H14:R14" si="7">H13*(1-$A$14)</f>
        <v>54.17064159</v>
      </c>
      <c r="I14" s="8">
        <f t="shared" si="7"/>
        <v>59.6779267</v>
      </c>
      <c r="J14" s="8">
        <f t="shared" si="7"/>
        <v>61.01425585</v>
      </c>
      <c r="K14" s="8">
        <f t="shared" si="7"/>
        <v>62.2894113</v>
      </c>
      <c r="L14" s="8">
        <f t="shared" si="7"/>
        <v>63.73715347</v>
      </c>
      <c r="M14" s="8">
        <f t="shared" si="7"/>
        <v>66.19103388</v>
      </c>
      <c r="N14" s="8">
        <f t="shared" si="7"/>
        <v>53.74810744</v>
      </c>
      <c r="O14" s="8">
        <f t="shared" si="7"/>
        <v>70.19602365</v>
      </c>
      <c r="P14" s="8">
        <f t="shared" si="7"/>
        <v>74.76377919</v>
      </c>
      <c r="Q14" s="8">
        <f t="shared" si="7"/>
        <v>79.39610253</v>
      </c>
      <c r="R14" s="8">
        <f t="shared" si="7"/>
        <v>69.73624339</v>
      </c>
    </row>
    <row r="15" ht="15.75" customHeight="1">
      <c r="A15" s="11">
        <f>Optimistisch!A15</f>
        <v>0.99</v>
      </c>
      <c r="B15" s="2" t="s">
        <v>10</v>
      </c>
      <c r="H15" s="8">
        <f>C33</f>
        <v>11.881902</v>
      </c>
      <c r="I15" s="8">
        <f t="shared" ref="I15:Q15" si="8">H15*$A$15</f>
        <v>11.76308298</v>
      </c>
      <c r="J15" s="8">
        <f t="shared" si="8"/>
        <v>11.64545215</v>
      </c>
      <c r="K15" s="8">
        <f t="shared" si="8"/>
        <v>11.52899763</v>
      </c>
      <c r="L15" s="8">
        <f t="shared" si="8"/>
        <v>11.41370765</v>
      </c>
      <c r="M15" s="8">
        <f t="shared" si="8"/>
        <v>11.29957058</v>
      </c>
      <c r="N15" s="8">
        <f t="shared" si="8"/>
        <v>11.18657487</v>
      </c>
      <c r="O15" s="8">
        <f t="shared" si="8"/>
        <v>11.07470912</v>
      </c>
      <c r="P15" s="8">
        <f t="shared" si="8"/>
        <v>10.96396203</v>
      </c>
      <c r="Q15" s="8">
        <f t="shared" si="8"/>
        <v>10.85432241</v>
      </c>
      <c r="R15" s="6" t="s">
        <v>6</v>
      </c>
    </row>
    <row r="16" ht="15.75" customHeight="1">
      <c r="B16" s="2" t="s">
        <v>11</v>
      </c>
      <c r="H16" s="8">
        <f t="shared" ref="H16:Q16" si="9">H14/H15</f>
        <v>4.559088401</v>
      </c>
      <c r="I16" s="8">
        <f t="shared" si="9"/>
        <v>5.073323618</v>
      </c>
      <c r="J16" s="8">
        <f t="shared" si="9"/>
        <v>5.239320472</v>
      </c>
      <c r="K16" s="8">
        <f t="shared" si="9"/>
        <v>5.402847091</v>
      </c>
      <c r="L16" s="8">
        <f t="shared" si="9"/>
        <v>5.584263713</v>
      </c>
      <c r="M16" s="8">
        <f t="shared" si="9"/>
        <v>5.857836228</v>
      </c>
      <c r="N16" s="8">
        <f t="shared" si="9"/>
        <v>4.804697422</v>
      </c>
      <c r="O16" s="8">
        <f t="shared" si="9"/>
        <v>6.338407888</v>
      </c>
      <c r="P16" s="8">
        <f t="shared" si="9"/>
        <v>6.81904762</v>
      </c>
      <c r="Q16" s="8">
        <f t="shared" si="9"/>
        <v>7.314699116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50.91739672</v>
      </c>
      <c r="I17" s="14">
        <f>I14/(1+$B$29)^2</f>
        <v>52.72518964</v>
      </c>
      <c r="J17" s="14">
        <f>J14/(1+$B$29)^3</f>
        <v>50.66848914</v>
      </c>
      <c r="K17" s="14">
        <f>K14/(1+$B$29)^4</f>
        <v>48.62090898</v>
      </c>
      <c r="L17" s="14">
        <f>L14/(1+$B$29)^5</f>
        <v>46.76314626</v>
      </c>
      <c r="M17" s="14">
        <f>M14/(1+$B$29)^6</f>
        <v>45.64702057</v>
      </c>
      <c r="N17" s="14">
        <f>N14/(1+$B$29)^7</f>
        <v>34.84004118</v>
      </c>
      <c r="O17" s="14">
        <f>O14/(1+$B$29)^8</f>
        <v>42.76910938</v>
      </c>
      <c r="P17" s="14">
        <f>P14/(1+$B$29)^9</f>
        <v>42.81649898</v>
      </c>
      <c r="Q17" s="14">
        <f>Q14/(1+$B$29)^10</f>
        <v>42.73869948</v>
      </c>
      <c r="R17" s="15">
        <f>(R14/(B29-R11))/(1+B29)^10</f>
        <v>665.6693321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0.02302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0.0408726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0.87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0.0638926</v>
      </c>
    </row>
    <row r="30" ht="15.75" customHeight="1"/>
    <row r="31" ht="15.75" customHeight="1">
      <c r="A31" s="3"/>
      <c r="B31" s="3"/>
      <c r="C31" s="24">
        <f>Optimistisch!C31</f>
        <v>45310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1264.234373</v>
      </c>
      <c r="D32" s="8">
        <f>SUM(H17:R17)</f>
        <v>1124.175832</v>
      </c>
    </row>
    <row r="33" ht="15.75" customHeight="1">
      <c r="A33" s="5"/>
      <c r="B33" s="5" t="s">
        <v>22</v>
      </c>
      <c r="C33" s="8">
        <f>Optimistisch!C33</f>
        <v>11.881902</v>
      </c>
      <c r="D33" s="8">
        <f>C33</f>
        <v>11.881902</v>
      </c>
    </row>
    <row r="34" ht="15.75" customHeight="1">
      <c r="A34" s="5"/>
      <c r="B34" s="5" t="s">
        <v>23</v>
      </c>
      <c r="C34" s="8">
        <f>Optimistisch!C34</f>
        <v>106.4</v>
      </c>
      <c r="D34" s="8">
        <f>D32/D33</f>
        <v>94.61244777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0.1245877525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39.0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285.2732655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0.3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17.09805947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0.128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300.1827734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1.821266667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0.1092882525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Vetoquinol</v>
      </c>
    </row>
    <row r="5" ht="15.75" customHeight="1"/>
    <row r="6" ht="15.75" customHeight="1">
      <c r="B6" s="2" t="str">
        <f>Optimistisch!B6</f>
        <v>Alle Angaben in Mio.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2018</v>
      </c>
      <c r="D9" s="2">
        <f t="shared" ref="D9:M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R9" s="9"/>
    </row>
    <row r="10" ht="15.75" customHeight="1">
      <c r="B10" s="2" t="s">
        <v>4</v>
      </c>
      <c r="C10" s="7">
        <f>Optimistisch!C10</f>
        <v>367.941</v>
      </c>
      <c r="D10" s="7">
        <f>Optimistisch!D10</f>
        <v>395.99</v>
      </c>
      <c r="E10" s="7">
        <f>Optimistisch!E10</f>
        <v>427.467</v>
      </c>
      <c r="F10" s="7">
        <f>Optimistisch!F10</f>
        <v>521.272</v>
      </c>
      <c r="G10" s="7">
        <f>Optimistisch!G10</f>
        <v>539.779</v>
      </c>
      <c r="H10" s="8">
        <f>Optimistisch!H10</f>
        <v>532.84</v>
      </c>
      <c r="I10" s="8">
        <f>Optimistisch!I10</f>
        <v>558.87</v>
      </c>
      <c r="J10" s="8">
        <f>Optimistisch!J10</f>
        <v>588.13</v>
      </c>
      <c r="K10" s="8">
        <f>(Optimistisch!K10+Pessimistisch!K10)/2</f>
        <v>623.4178</v>
      </c>
      <c r="L10" s="8">
        <f>(Optimistisch!L10+Pessimistisch!L10)/2</f>
        <v>663.9840668</v>
      </c>
      <c r="M10" s="8">
        <f>(Optimistisch!M10+Pessimistisch!M10)/2</f>
        <v>703.8856731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J11" si="2">C12/C10</f>
        <v>0.07231594196</v>
      </c>
      <c r="D11" s="10">
        <f t="shared" si="2"/>
        <v>0.1075355438</v>
      </c>
      <c r="E11" s="10">
        <f t="shared" si="2"/>
        <v>0.1915773615</v>
      </c>
      <c r="F11" s="10">
        <f t="shared" si="2"/>
        <v>0.1455957734</v>
      </c>
      <c r="G11" s="10">
        <f t="shared" si="2"/>
        <v>0.08500515952</v>
      </c>
      <c r="H11" s="11">
        <f t="shared" si="2"/>
        <v>0.1080249231</v>
      </c>
      <c r="I11" s="11">
        <f t="shared" si="2"/>
        <v>0.1136937034</v>
      </c>
      <c r="J11" s="11">
        <f t="shared" si="2"/>
        <v>0.1170489518</v>
      </c>
      <c r="K11" s="11">
        <v>0.125</v>
      </c>
      <c r="L11" s="11">
        <v>0.1025</v>
      </c>
      <c r="M11" s="11">
        <v>0.145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f>37.884-11.276</f>
        <v>26.608</v>
      </c>
      <c r="D12" s="7">
        <f>52.024-9.441</f>
        <v>42.583</v>
      </c>
      <c r="E12" s="7">
        <f>92.229-10.336</f>
        <v>81.893</v>
      </c>
      <c r="F12" s="7">
        <f>89.715-13.82</f>
        <v>75.895</v>
      </c>
      <c r="G12" s="7">
        <f>62.855-16.971</f>
        <v>45.884</v>
      </c>
      <c r="H12" s="8">
        <v>57.56</v>
      </c>
      <c r="I12" s="8">
        <v>63.54</v>
      </c>
      <c r="J12" s="8">
        <v>68.84</v>
      </c>
      <c r="K12" s="8">
        <f t="shared" ref="K12:M12" si="3">K10*K11</f>
        <v>77.927225</v>
      </c>
      <c r="L12" s="8">
        <f t="shared" si="3"/>
        <v>68.05836684</v>
      </c>
      <c r="M12" s="8">
        <f t="shared" si="3"/>
        <v>102.0634226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54.12431029</v>
      </c>
      <c r="I13" s="14">
        <f>I12/(1+$B$37)^2</f>
        <v>56.18111967</v>
      </c>
      <c r="J13" s="14">
        <f>J12/(1+$B$37)^3</f>
        <v>57.23420191</v>
      </c>
      <c r="K13" s="14">
        <f>K12/(1+$B$37)^4</f>
        <v>60.92219898</v>
      </c>
      <c r="L13" s="14">
        <f>L12/(1+$B$37)^5</f>
        <v>50.03103333</v>
      </c>
      <c r="M13" s="15">
        <f>(M12/(B37-B39))/(1+B37)^5</f>
        <v>1725.682782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0.02302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0.0408726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21">
        <f>Optimistisch!B27</f>
        <v>0.87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0.0638926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21">
        <f>C42</f>
        <v>1264.234373</v>
      </c>
    </row>
    <row r="30" ht="15.75" customHeight="1">
      <c r="A30" s="30"/>
      <c r="B30" s="18"/>
    </row>
    <row r="31" ht="15.75" customHeight="1">
      <c r="A31" s="30" t="s">
        <v>36</v>
      </c>
      <c r="B31" s="21">
        <v>15.81</v>
      </c>
    </row>
    <row r="32" ht="15.75" customHeight="1">
      <c r="A32" s="30"/>
      <c r="B32" s="18"/>
    </row>
    <row r="33" ht="15.75" customHeight="1">
      <c r="A33" s="30" t="s">
        <v>37</v>
      </c>
      <c r="B33" s="20">
        <v>0.0418</v>
      </c>
    </row>
    <row r="34" ht="15.75" customHeight="1">
      <c r="A34" s="30"/>
      <c r="B34" s="18"/>
    </row>
    <row r="35" ht="15.75" customHeight="1">
      <c r="A35" s="30" t="s">
        <v>38</v>
      </c>
      <c r="B35" s="20">
        <v>0.275</v>
      </c>
    </row>
    <row r="36" ht="15.75" customHeight="1">
      <c r="A36" s="30"/>
      <c r="B36" s="18"/>
    </row>
    <row r="37" ht="15.75" customHeight="1">
      <c r="A37" s="34" t="s">
        <v>39</v>
      </c>
      <c r="B37" s="23">
        <f>B25*(B29/(B29+B31))+B33*(B31/(B29+B31))*(1-B35)</f>
        <v>0.06347775504</v>
      </c>
    </row>
    <row r="38" ht="15.75" customHeight="1">
      <c r="B38" s="10"/>
    </row>
    <row r="39" ht="15.75" customHeight="1">
      <c r="A39" s="2" t="s">
        <v>40</v>
      </c>
      <c r="B39" s="10">
        <v>0.02</v>
      </c>
    </row>
    <row r="40" ht="15.75" customHeight="1"/>
    <row r="41" ht="15.75" customHeight="1">
      <c r="A41" s="3"/>
      <c r="B41" s="3"/>
      <c r="C41" s="24">
        <f>Optimistisch!C31</f>
        <v>45310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1264.234373</v>
      </c>
      <c r="D42" s="8">
        <f>SUM(H13:M13)-B31</f>
        <v>1988.365646</v>
      </c>
    </row>
    <row r="43" ht="15.75" customHeight="1">
      <c r="A43" s="5"/>
      <c r="B43" s="5" t="s">
        <v>22</v>
      </c>
      <c r="C43" s="8">
        <f>Optimistisch!C33</f>
        <v>11.881902</v>
      </c>
      <c r="D43" s="8">
        <f>C43</f>
        <v>11.881902</v>
      </c>
    </row>
    <row r="44" ht="15.75" customHeight="1">
      <c r="A44" s="5"/>
      <c r="B44" s="5" t="s">
        <v>23</v>
      </c>
      <c r="C44" s="8">
        <f>Optimistisch!C34</f>
        <v>106.4</v>
      </c>
      <c r="D44" s="8">
        <f>D42/D43</f>
        <v>167.3440537</v>
      </c>
    </row>
    <row r="45" ht="15.75" customHeight="1">
      <c r="A45" s="5"/>
      <c r="B45" s="5" t="s">
        <v>24</v>
      </c>
      <c r="C45" s="5"/>
      <c r="D45" s="11">
        <f>IF(C44/D44-1&gt;0,0,C44/D44-1)*-1</f>
        <v>0.3641841604</v>
      </c>
    </row>
    <row r="46" ht="15.75" customHeight="1">
      <c r="A46" s="5"/>
      <c r="B46" s="5" t="s">
        <v>25</v>
      </c>
      <c r="C46" s="5"/>
      <c r="D46" s="11">
        <f>IF(C44/D44-1&lt;0,0,C44/D44-1)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