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ptimistisch" sheetId="1" r:id="rId4"/>
    <sheet state="visible" name="Pessimistisch" sheetId="2" r:id="rId5"/>
    <sheet state="visible" name="Wachstum für Faire Bewertung" sheetId="3" r:id="rId6"/>
    <sheet state="visible" name="DCF" sheetId="4" r:id="rId7"/>
  </sheets>
  <definedNames/>
  <calcPr/>
  <extLst>
    <ext uri="GoogleSheetsCustomDataVersion2">
      <go:sheetsCustomData xmlns:go="http://customooxmlschemas.google.com/" r:id="rId8" roundtripDataChecksum="ZCnBTgja6KpHX3IDOGWryIeXBH0Yijjem/RNtmJDcqo="/>
    </ext>
  </extLst>
</workbook>
</file>

<file path=xl/sharedStrings.xml><?xml version="1.0" encoding="utf-8"?>
<sst xmlns="http://schemas.openxmlformats.org/spreadsheetml/2006/main" count="118" uniqueCount="41">
  <si>
    <t>Discounted Net-Profit Modell</t>
  </si>
  <si>
    <t>Annahmen für Mid-America Apartment Communities</t>
  </si>
  <si>
    <t>Alle Angaben in Mrd.</t>
  </si>
  <si>
    <t>Schätzungen »</t>
  </si>
  <si>
    <t>Umsatz</t>
  </si>
  <si>
    <t>Umsatzwachstum</t>
  </si>
  <si>
    <t>-</t>
  </si>
  <si>
    <t>FFO Marge</t>
  </si>
  <si>
    <t>Funds from Operations</t>
  </si>
  <si>
    <t>Gewinn (abzgl. Steuern, Zinsen)</t>
  </si>
  <si>
    <t>Anzahl an Aktien (abzgl. Aktienrückkäufe)</t>
  </si>
  <si>
    <t>FFO je Aktie</t>
  </si>
  <si>
    <t>Abgezinster FFO</t>
  </si>
  <si>
    <t>Berechnung der Eigenkapitalkosten:</t>
  </si>
  <si>
    <t>Risikoloser Basiszins:</t>
  </si>
  <si>
    <t>Risikoprämie:</t>
  </si>
  <si>
    <t>Marktrendite:</t>
  </si>
  <si>
    <t>Beta-Faktor:</t>
  </si>
  <si>
    <t>Eigenkapitalkosten:</t>
  </si>
  <si>
    <t>Fairer Wert</t>
  </si>
  <si>
    <t>Bewertung</t>
  </si>
  <si>
    <t>Marktkapitalisierung</t>
  </si>
  <si>
    <t>Anzahl an Aktien</t>
  </si>
  <si>
    <t>Kurs je Aktie</t>
  </si>
  <si>
    <t>Unterbewertung</t>
  </si>
  <si>
    <t>Überbewertung</t>
  </si>
  <si>
    <t>Berechnung der Renditeerwartung:</t>
  </si>
  <si>
    <t>Durchschnittliche Ausschüttungsquote:</t>
  </si>
  <si>
    <t>Ausgeschüttete Gewinne:</t>
  </si>
  <si>
    <t>Quellensteuer</t>
  </si>
  <si>
    <t>Discounted Cashflow Modell</t>
  </si>
  <si>
    <t>Free Cashflow Marge</t>
  </si>
  <si>
    <t>Free Cashflow</t>
  </si>
  <si>
    <t>Abgezinster Free Cashflow</t>
  </si>
  <si>
    <t>Berechnung der WACC:</t>
  </si>
  <si>
    <t>Marktkapitalisierung:</t>
  </si>
  <si>
    <t>Verzinstes Fremdkapital:</t>
  </si>
  <si>
    <t>Zinsrate (durchschnittlich):</t>
  </si>
  <si>
    <t>Steuerrate (durchschnittlich):</t>
  </si>
  <si>
    <t>WACC:</t>
  </si>
  <si>
    <t>Wachstumsabschlag: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</si>
</sst>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2.0"/>
      <color theme="1"/>
      <name val="Calibri"/>
      <scheme val="minor"/>
    </font>
    <font>
      <b/>
      <sz val="20.0"/>
      <color theme="1"/>
      <name val="Calibri"/>
    </font>
    <font>
      <color theme="1"/>
      <name val="Calibri"/>
      <scheme val="minor"/>
    </font>
    <font>
      <sz val="12.0"/>
      <color theme="1"/>
      <name val="Calibri"/>
    </font>
    <font>
      <sz val="12.0"/>
      <color theme="0"/>
      <name val="Calibri"/>
    </font>
    <font>
      <u/>
      <sz val="12.0"/>
      <color theme="1"/>
      <name val="Calibri"/>
    </font>
    <font>
      <u/>
      <sz val="12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17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1" fillId="2" fontId="3" numFmtId="0" xfId="0" applyBorder="1" applyFill="1" applyFont="1"/>
    <xf borderId="1" fillId="2" fontId="4" numFmtId="0" xfId="0" applyBorder="1" applyFont="1"/>
    <xf borderId="1" fillId="3" fontId="3" numFmtId="0" xfId="0" applyBorder="1" applyFill="1" applyFont="1"/>
    <xf borderId="1" fillId="3" fontId="3" numFmtId="0" xfId="0" applyAlignment="1" applyBorder="1" applyFont="1">
      <alignment horizontal="right"/>
    </xf>
    <xf borderId="0" fillId="0" fontId="3" numFmtId="2" xfId="0" applyFont="1" applyNumberFormat="1"/>
    <xf borderId="1" fillId="3" fontId="3" numFmtId="2" xfId="0" applyBorder="1" applyFont="1" applyNumberFormat="1"/>
    <xf borderId="0" fillId="0" fontId="3" numFmtId="0" xfId="0" applyAlignment="1" applyFont="1">
      <alignment horizontal="right"/>
    </xf>
    <xf borderId="0" fillId="0" fontId="3" numFmtId="10" xfId="0" applyFont="1" applyNumberFormat="1"/>
    <xf borderId="1" fillId="3" fontId="3" numFmtId="10" xfId="0" applyBorder="1" applyFont="1" applyNumberFormat="1"/>
    <xf borderId="2" fillId="0" fontId="3" numFmtId="0" xfId="0" applyBorder="1" applyFont="1"/>
    <xf borderId="3" fillId="0" fontId="3" numFmtId="0" xfId="0" applyBorder="1" applyFont="1"/>
    <xf borderId="4" fillId="4" fontId="3" numFmtId="2" xfId="0" applyBorder="1" applyFill="1" applyFont="1" applyNumberFormat="1"/>
    <xf borderId="5" fillId="4" fontId="3" numFmtId="2" xfId="0" applyBorder="1" applyFont="1" applyNumberFormat="1"/>
    <xf borderId="6" fillId="0" fontId="5" numFmtId="0" xfId="0" applyBorder="1" applyFont="1"/>
    <xf borderId="7" fillId="0" fontId="3" numFmtId="0" xfId="0" applyBorder="1" applyFont="1"/>
    <xf borderId="8" fillId="0" fontId="3" numFmtId="0" xfId="0" applyBorder="1" applyFont="1"/>
    <xf borderId="8" fillId="0" fontId="3" numFmtId="10" xfId="0" applyAlignment="1" applyBorder="1" applyFont="1" applyNumberFormat="1">
      <alignment readingOrder="0"/>
    </xf>
    <xf borderId="8" fillId="0" fontId="3" numFmtId="10" xfId="0" applyBorder="1" applyFont="1" applyNumberFormat="1"/>
    <xf borderId="8" fillId="0" fontId="3" numFmtId="2" xfId="0" applyBorder="1" applyFont="1" applyNumberFormat="1"/>
    <xf borderId="9" fillId="0" fontId="3" numFmtId="0" xfId="0" applyBorder="1" applyFont="1"/>
    <xf borderId="10" fillId="0" fontId="3" numFmtId="10" xfId="0" applyBorder="1" applyFont="1" applyNumberFormat="1"/>
    <xf borderId="1" fillId="2" fontId="4" numFmtId="14" xfId="0" applyAlignment="1" applyBorder="1" applyFont="1" applyNumberFormat="1">
      <alignment horizontal="right"/>
    </xf>
    <xf borderId="1" fillId="2" fontId="4" numFmtId="0" xfId="0" applyAlignment="1" applyBorder="1" applyFont="1">
      <alignment horizontal="right"/>
    </xf>
    <xf borderId="1" fillId="3" fontId="3" numFmtId="2" xfId="0" applyAlignment="1" applyBorder="1" applyFont="1" applyNumberFormat="1">
      <alignment readingOrder="0"/>
    </xf>
    <xf borderId="1" fillId="4" fontId="3" numFmtId="0" xfId="0" applyBorder="1" applyFont="1"/>
    <xf borderId="11" fillId="0" fontId="6" numFmtId="0" xfId="0" applyBorder="1" applyFont="1"/>
    <xf borderId="6" fillId="0" fontId="3" numFmtId="0" xfId="0" applyBorder="1" applyFont="1"/>
    <xf borderId="12" fillId="0" fontId="3" numFmtId="0" xfId="0" applyBorder="1" applyFont="1"/>
    <xf borderId="13" fillId="3" fontId="3" numFmtId="0" xfId="0" applyBorder="1" applyFont="1"/>
    <xf borderId="14" fillId="3" fontId="3" numFmtId="0" xfId="0" applyBorder="1" applyFont="1"/>
    <xf borderId="15" fillId="3" fontId="3" numFmtId="10" xfId="0" applyBorder="1" applyFont="1" applyNumberFormat="1"/>
    <xf borderId="16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7.44"/>
    <col customWidth="1" min="2" max="2" width="27.22"/>
    <col customWidth="1" min="3" max="18" width="10.33"/>
    <col customWidth="1" min="19" max="26" width="8.33"/>
  </cols>
  <sheetData>
    <row r="1" ht="15.75" customHeight="1"/>
    <row r="2" ht="15.75" customHeight="1">
      <c r="B2" s="1" t="s">
        <v>0</v>
      </c>
    </row>
    <row r="3" ht="15.75" customHeight="1"/>
    <row r="4" ht="15.75" customHeight="1">
      <c r="B4" s="2" t="s">
        <v>1</v>
      </c>
    </row>
    <row r="5" ht="15.75" customHeight="1"/>
    <row r="6" ht="15.75" customHeight="1">
      <c r="B6" s="2" t="s">
        <v>2</v>
      </c>
    </row>
    <row r="7" ht="15.75" customHeight="1"/>
    <row r="8" ht="15.75" customHeight="1">
      <c r="A8" s="3"/>
      <c r="B8" s="3"/>
      <c r="C8" s="3"/>
      <c r="D8" s="3"/>
      <c r="E8" s="3"/>
      <c r="F8" s="3"/>
      <c r="G8" s="3"/>
      <c r="H8" s="4" t="s">
        <v>3</v>
      </c>
      <c r="I8" s="3"/>
      <c r="J8" s="3"/>
      <c r="K8" s="3"/>
      <c r="L8" s="3"/>
      <c r="M8" s="3"/>
      <c r="N8" s="3"/>
      <c r="O8" s="3"/>
      <c r="P8" s="3"/>
      <c r="Q8" s="3"/>
      <c r="R8" s="3"/>
    </row>
    <row r="9" ht="15.75" customHeight="1">
      <c r="C9" s="2">
        <v>2019.0</v>
      </c>
      <c r="D9" s="2">
        <f t="shared" ref="D9:Q9" si="1">C9+1</f>
        <v>2020</v>
      </c>
      <c r="E9" s="2">
        <f t="shared" si="1"/>
        <v>2021</v>
      </c>
      <c r="F9" s="2">
        <f t="shared" si="1"/>
        <v>2022</v>
      </c>
      <c r="G9" s="2">
        <f t="shared" si="1"/>
        <v>2023</v>
      </c>
      <c r="H9" s="5">
        <f t="shared" si="1"/>
        <v>2024</v>
      </c>
      <c r="I9" s="5">
        <f t="shared" si="1"/>
        <v>2025</v>
      </c>
      <c r="J9" s="5">
        <f t="shared" si="1"/>
        <v>2026</v>
      </c>
      <c r="K9" s="5">
        <f t="shared" si="1"/>
        <v>2027</v>
      </c>
      <c r="L9" s="5">
        <f t="shared" si="1"/>
        <v>2028</v>
      </c>
      <c r="M9" s="5">
        <f t="shared" si="1"/>
        <v>2029</v>
      </c>
      <c r="N9" s="5">
        <f t="shared" si="1"/>
        <v>2030</v>
      </c>
      <c r="O9" s="5">
        <f t="shared" si="1"/>
        <v>2031</v>
      </c>
      <c r="P9" s="5">
        <f t="shared" si="1"/>
        <v>2032</v>
      </c>
      <c r="Q9" s="5">
        <f t="shared" si="1"/>
        <v>2033</v>
      </c>
      <c r="R9" s="6" t="str">
        <f>Q9+1&amp;"ff."</f>
        <v>2034ff.</v>
      </c>
    </row>
    <row r="10" ht="15.75" customHeight="1">
      <c r="B10" s="2" t="s">
        <v>4</v>
      </c>
      <c r="C10" s="7">
        <v>1.641017</v>
      </c>
      <c r="D10" s="7">
        <v>1.677984</v>
      </c>
      <c r="E10" s="7">
        <v>1.778082</v>
      </c>
      <c r="F10" s="7">
        <v>2.019866</v>
      </c>
      <c r="G10" s="7">
        <v>2.148468</v>
      </c>
      <c r="H10" s="8">
        <v>2.15665</v>
      </c>
      <c r="I10" s="8">
        <v>2.21345</v>
      </c>
      <c r="J10" s="8">
        <v>2.41468</v>
      </c>
      <c r="K10" s="8">
        <f t="shared" ref="K10:R10" si="2">J10*(1+K11)</f>
        <v>2.5716342</v>
      </c>
      <c r="L10" s="8">
        <f t="shared" si="2"/>
        <v>2.725932252</v>
      </c>
      <c r="M10" s="8">
        <f t="shared" si="2"/>
        <v>2.821339881</v>
      </c>
      <c r="N10" s="8">
        <f t="shared" si="2"/>
        <v>2.976513574</v>
      </c>
      <c r="O10" s="8">
        <f t="shared" si="2"/>
        <v>3.140221821</v>
      </c>
      <c r="P10" s="8">
        <f t="shared" si="2"/>
        <v>3.265830694</v>
      </c>
      <c r="Q10" s="8">
        <f t="shared" si="2"/>
        <v>3.380134768</v>
      </c>
      <c r="R10" s="8">
        <f t="shared" si="2"/>
        <v>3.447737463</v>
      </c>
    </row>
    <row r="11" ht="15.75" customHeight="1">
      <c r="B11" s="2" t="s">
        <v>5</v>
      </c>
      <c r="C11" s="9" t="s">
        <v>6</v>
      </c>
      <c r="D11" s="10">
        <f t="shared" ref="D11:J11" si="3">D10/C10-1</f>
        <v>0.02252688424</v>
      </c>
      <c r="E11" s="10">
        <f t="shared" si="3"/>
        <v>0.05965372733</v>
      </c>
      <c r="F11" s="10">
        <f t="shared" si="3"/>
        <v>0.1359802304</v>
      </c>
      <c r="G11" s="10">
        <f t="shared" si="3"/>
        <v>0.06366857999</v>
      </c>
      <c r="H11" s="11">
        <f t="shared" si="3"/>
        <v>0.003808295027</v>
      </c>
      <c r="I11" s="11">
        <f t="shared" si="3"/>
        <v>0.02633714325</v>
      </c>
      <c r="J11" s="11">
        <f t="shared" si="3"/>
        <v>0.09091237661</v>
      </c>
      <c r="K11" s="11">
        <v>0.065</v>
      </c>
      <c r="L11" s="11">
        <v>0.06</v>
      </c>
      <c r="M11" s="11">
        <v>0.035</v>
      </c>
      <c r="N11" s="11">
        <v>0.055</v>
      </c>
      <c r="O11" s="11">
        <v>0.055</v>
      </c>
      <c r="P11" s="11">
        <v>0.04</v>
      </c>
      <c r="Q11" s="11">
        <v>0.035</v>
      </c>
      <c r="R11" s="11">
        <v>0.02</v>
      </c>
    </row>
    <row r="12" ht="15.75" customHeight="1">
      <c r="B12" s="2" t="s">
        <v>7</v>
      </c>
      <c r="C12" s="10">
        <f t="shared" ref="C12:J12" si="4">C13/C10</f>
        <v>0.471166356</v>
      </c>
      <c r="D12" s="10">
        <f t="shared" si="4"/>
        <v>0.4560794382</v>
      </c>
      <c r="E12" s="10">
        <f t="shared" si="4"/>
        <v>0.4799677405</v>
      </c>
      <c r="F12" s="10">
        <f t="shared" si="4"/>
        <v>0.4816071957</v>
      </c>
      <c r="G12" s="10">
        <f t="shared" si="4"/>
        <v>0.5230652726</v>
      </c>
      <c r="H12" s="11">
        <f t="shared" si="4"/>
        <v>0.4945887446</v>
      </c>
      <c r="I12" s="11">
        <f t="shared" si="4"/>
        <v>0.4986821297</v>
      </c>
      <c r="J12" s="11">
        <f t="shared" si="4"/>
        <v>0.4963750604</v>
      </c>
      <c r="K12" s="11">
        <v>0.4975</v>
      </c>
      <c r="L12" s="11">
        <v>0.5</v>
      </c>
      <c r="M12" s="11">
        <v>0.5025</v>
      </c>
      <c r="N12" s="11">
        <v>0.505</v>
      </c>
      <c r="O12" s="11">
        <v>0.485</v>
      </c>
      <c r="P12" s="11">
        <v>0.4825</v>
      </c>
      <c r="Q12" s="11">
        <v>0.5</v>
      </c>
      <c r="R12" s="11">
        <v>0.495</v>
      </c>
    </row>
    <row r="13" ht="15.75" customHeight="1">
      <c r="B13" s="2" t="s">
        <v>8</v>
      </c>
      <c r="C13" s="7">
        <v>0.773192</v>
      </c>
      <c r="D13" s="7">
        <v>0.765294</v>
      </c>
      <c r="E13" s="7">
        <v>0.853422</v>
      </c>
      <c r="F13" s="7">
        <v>0.972782</v>
      </c>
      <c r="G13" s="7">
        <v>1.123789</v>
      </c>
      <c r="H13" s="8">
        <v>1.0666548160173162</v>
      </c>
      <c r="I13" s="8">
        <v>1.1038079599367423</v>
      </c>
      <c r="J13" s="8">
        <v>1.1985869308844852</v>
      </c>
      <c r="K13" s="8">
        <f t="shared" ref="K13:R13" si="5">K10*K12</f>
        <v>1.279388015</v>
      </c>
      <c r="L13" s="8">
        <f t="shared" si="5"/>
        <v>1.362966126</v>
      </c>
      <c r="M13" s="8">
        <f t="shared" si="5"/>
        <v>1.41772329</v>
      </c>
      <c r="N13" s="8">
        <f t="shared" si="5"/>
        <v>1.503139355</v>
      </c>
      <c r="O13" s="8">
        <f t="shared" si="5"/>
        <v>1.523007583</v>
      </c>
      <c r="P13" s="8">
        <f t="shared" si="5"/>
        <v>1.57576331</v>
      </c>
      <c r="Q13" s="8">
        <f t="shared" si="5"/>
        <v>1.690067384</v>
      </c>
      <c r="R13" s="8">
        <f t="shared" si="5"/>
        <v>1.706630044</v>
      </c>
    </row>
    <row r="14" ht="15.75" hidden="1" customHeight="1">
      <c r="A14" s="11">
        <v>0.25</v>
      </c>
      <c r="B14" s="2" t="s">
        <v>9</v>
      </c>
      <c r="C14" s="7"/>
      <c r="D14" s="7"/>
      <c r="E14" s="7"/>
      <c r="F14" s="7"/>
      <c r="G14" s="7"/>
      <c r="H14" s="8"/>
      <c r="I14" s="8"/>
      <c r="J14" s="8"/>
      <c r="K14" s="8">
        <f t="shared" ref="K14:R14" si="6">K13*(1-$A$14)</f>
        <v>0.9595410109</v>
      </c>
      <c r="L14" s="8">
        <f t="shared" si="6"/>
        <v>1.022224595</v>
      </c>
      <c r="M14" s="8">
        <f t="shared" si="6"/>
        <v>1.063292468</v>
      </c>
      <c r="N14" s="8">
        <f t="shared" si="6"/>
        <v>1.127354516</v>
      </c>
      <c r="O14" s="8">
        <f t="shared" si="6"/>
        <v>1.142255687</v>
      </c>
      <c r="P14" s="8">
        <f t="shared" si="6"/>
        <v>1.181822482</v>
      </c>
      <c r="Q14" s="8">
        <f t="shared" si="6"/>
        <v>1.267550538</v>
      </c>
      <c r="R14" s="8">
        <f t="shared" si="6"/>
        <v>1.279972533</v>
      </c>
    </row>
    <row r="15" ht="15.75" customHeight="1">
      <c r="A15" s="11">
        <v>1.005</v>
      </c>
      <c r="B15" s="2" t="s">
        <v>10</v>
      </c>
      <c r="H15" s="8">
        <f>C33</f>
        <v>0.11669</v>
      </c>
      <c r="I15" s="8">
        <f t="shared" ref="I15:Q15" si="7">H15*$A$15</f>
        <v>0.11727345</v>
      </c>
      <c r="J15" s="8">
        <f t="shared" si="7"/>
        <v>0.1178598173</v>
      </c>
      <c r="K15" s="8">
        <f t="shared" si="7"/>
        <v>0.1184491163</v>
      </c>
      <c r="L15" s="8">
        <f t="shared" si="7"/>
        <v>0.1190413619</v>
      </c>
      <c r="M15" s="8">
        <f t="shared" si="7"/>
        <v>0.1196365687</v>
      </c>
      <c r="N15" s="8">
        <f t="shared" si="7"/>
        <v>0.1202347516</v>
      </c>
      <c r="O15" s="8">
        <f t="shared" si="7"/>
        <v>0.1208359253</v>
      </c>
      <c r="P15" s="8">
        <f t="shared" si="7"/>
        <v>0.121440105</v>
      </c>
      <c r="Q15" s="8">
        <f t="shared" si="7"/>
        <v>0.1220473055</v>
      </c>
      <c r="R15" s="6" t="s">
        <v>6</v>
      </c>
    </row>
    <row r="16" ht="15.75" customHeight="1">
      <c r="B16" s="2" t="s">
        <v>11</v>
      </c>
      <c r="H16" s="8">
        <f t="shared" ref="H16:Q16" si="8">H13/H15</f>
        <v>9.14092738</v>
      </c>
      <c r="I16" s="8">
        <f t="shared" si="8"/>
        <v>9.412257932</v>
      </c>
      <c r="J16" s="8">
        <f t="shared" si="8"/>
        <v>10.16959774</v>
      </c>
      <c r="K16" s="8">
        <f t="shared" si="8"/>
        <v>10.80116133</v>
      </c>
      <c r="L16" s="8">
        <f t="shared" si="8"/>
        <v>11.44951724</v>
      </c>
      <c r="M16" s="8">
        <f t="shared" si="8"/>
        <v>11.85025035</v>
      </c>
      <c r="N16" s="8">
        <f t="shared" si="8"/>
        <v>12.50170467</v>
      </c>
      <c r="O16" s="8">
        <f t="shared" si="8"/>
        <v>12.60393032</v>
      </c>
      <c r="P16" s="8">
        <f t="shared" si="8"/>
        <v>12.97564186</v>
      </c>
      <c r="Q16" s="8">
        <f t="shared" si="8"/>
        <v>13.84764192</v>
      </c>
      <c r="R16" s="6" t="s">
        <v>6</v>
      </c>
    </row>
    <row r="17" ht="15.75" customHeight="1">
      <c r="F17" s="12" t="s">
        <v>12</v>
      </c>
      <c r="G17" s="13"/>
      <c r="H17" s="14">
        <f t="shared" ref="H17:Q17" si="9">H13/(1+$B$29)</f>
        <v>1.000572036</v>
      </c>
      <c r="I17" s="14">
        <f t="shared" si="9"/>
        <v>1.03542342</v>
      </c>
      <c r="J17" s="14">
        <f t="shared" si="9"/>
        <v>1.124330522</v>
      </c>
      <c r="K17" s="14">
        <f t="shared" si="9"/>
        <v>1.200125712</v>
      </c>
      <c r="L17" s="14">
        <f t="shared" si="9"/>
        <v>1.278525884</v>
      </c>
      <c r="M17" s="14">
        <f t="shared" si="9"/>
        <v>1.329890661</v>
      </c>
      <c r="N17" s="14">
        <f t="shared" si="9"/>
        <v>1.41001492</v>
      </c>
      <c r="O17" s="14">
        <f t="shared" si="9"/>
        <v>1.428652246</v>
      </c>
      <c r="P17" s="14">
        <f t="shared" si="9"/>
        <v>1.478139581</v>
      </c>
      <c r="Q17" s="14">
        <f t="shared" si="9"/>
        <v>1.585362141</v>
      </c>
      <c r="R17" s="15">
        <f>(R13/(B29-R11))/(1+B29)^10</f>
        <v>19.55246576</v>
      </c>
    </row>
    <row r="18" ht="15.75" customHeight="1"/>
    <row r="19" ht="15.75" customHeight="1">
      <c r="A19" s="16" t="s">
        <v>13</v>
      </c>
      <c r="B19" s="17"/>
    </row>
    <row r="20" ht="15.75" customHeight="1">
      <c r="B20" s="18"/>
    </row>
    <row r="21" ht="15.75" customHeight="1">
      <c r="A21" s="2" t="s">
        <v>14</v>
      </c>
      <c r="B21" s="19">
        <v>0.04175</v>
      </c>
    </row>
    <row r="22" ht="15.75" customHeight="1">
      <c r="B22" s="18"/>
    </row>
    <row r="23" ht="15.75" customHeight="1">
      <c r="A23" s="2" t="s">
        <v>15</v>
      </c>
      <c r="B23" s="20">
        <f>(B25-B21)*B27</f>
        <v>0.024295</v>
      </c>
    </row>
    <row r="24" ht="15.75" customHeight="1">
      <c r="B24" s="18"/>
    </row>
    <row r="25" ht="15.75" customHeight="1">
      <c r="A25" s="2" t="s">
        <v>16</v>
      </c>
      <c r="B25" s="20">
        <v>0.07</v>
      </c>
    </row>
    <row r="26" ht="15.75" customHeight="1">
      <c r="B26" s="18"/>
    </row>
    <row r="27" ht="15.75" customHeight="1">
      <c r="A27" s="2" t="s">
        <v>17</v>
      </c>
      <c r="B27" s="21">
        <v>0.86</v>
      </c>
    </row>
    <row r="28" ht="15.75" customHeight="1">
      <c r="B28" s="18"/>
    </row>
    <row r="29" ht="15.75" customHeight="1">
      <c r="A29" s="22" t="s">
        <v>18</v>
      </c>
      <c r="B29" s="23">
        <f>B21+(B25-B21)*B27</f>
        <v>0.066045</v>
      </c>
    </row>
    <row r="30" ht="15.75" customHeight="1"/>
    <row r="31" ht="15.75" customHeight="1">
      <c r="A31" s="3"/>
      <c r="B31" s="3"/>
      <c r="C31" s="24">
        <v>45331.0</v>
      </c>
      <c r="D31" s="25" t="s">
        <v>19</v>
      </c>
    </row>
    <row r="32" ht="15.75" customHeight="1">
      <c r="A32" s="5" t="s">
        <v>20</v>
      </c>
      <c r="B32" s="5" t="s">
        <v>21</v>
      </c>
      <c r="C32" s="8">
        <f>C33*C34</f>
        <v>14.5302388</v>
      </c>
      <c r="D32" s="8">
        <f>SUM(H17:R17)</f>
        <v>32.42350288</v>
      </c>
    </row>
    <row r="33" ht="15.75" customHeight="1">
      <c r="A33" s="5"/>
      <c r="B33" s="5" t="s">
        <v>22</v>
      </c>
      <c r="C33" s="8">
        <f>0.11669</f>
        <v>0.11669</v>
      </c>
      <c r="D33" s="8">
        <f>C33</f>
        <v>0.11669</v>
      </c>
    </row>
    <row r="34" ht="15.75" customHeight="1">
      <c r="A34" s="5"/>
      <c r="B34" s="5" t="s">
        <v>23</v>
      </c>
      <c r="C34" s="26">
        <v>124.52</v>
      </c>
      <c r="D34" s="8">
        <f>D32/D33</f>
        <v>277.8601669</v>
      </c>
    </row>
    <row r="35" ht="15.75" customHeight="1">
      <c r="A35" s="5"/>
      <c r="B35" s="5" t="s">
        <v>24</v>
      </c>
      <c r="C35" s="5"/>
      <c r="D35" s="11">
        <f>IF(C34/D34-1&gt;0,0,C34/D34-1)*-1</f>
        <v>0.5518609185</v>
      </c>
    </row>
    <row r="36" ht="15.75" customHeight="1">
      <c r="A36" s="5"/>
      <c r="B36" s="5" t="s">
        <v>25</v>
      </c>
      <c r="C36" s="5"/>
      <c r="D36" s="11">
        <f>IF(C34/D34-1&lt;0,0,C34/D34-1)</f>
        <v>0</v>
      </c>
    </row>
    <row r="37" ht="15.75" customHeight="1">
      <c r="A37" s="27"/>
      <c r="B37" s="27"/>
      <c r="C37" s="27"/>
      <c r="D37" s="27"/>
    </row>
    <row r="38" ht="15.75" customHeight="1">
      <c r="A38" s="28" t="s">
        <v>26</v>
      </c>
      <c r="B38" s="29"/>
      <c r="C38" s="29"/>
      <c r="D38" s="17"/>
    </row>
    <row r="39" ht="15.75" customHeight="1">
      <c r="A39" s="30"/>
      <c r="D39" s="18"/>
    </row>
    <row r="40" ht="15.75" customHeight="1">
      <c r="A40" s="30" t="str">
        <f>"KFFOV in "&amp;Q9&amp;":"</f>
        <v>KFFOV in 2033:</v>
      </c>
      <c r="D40" s="21">
        <v>20.0</v>
      </c>
    </row>
    <row r="41" ht="15.75" customHeight="1">
      <c r="A41" s="30"/>
      <c r="D41" s="18"/>
    </row>
    <row r="42" ht="15.75" customHeight="1">
      <c r="A42" s="30" t="str">
        <f>"Aktienkurs in "&amp;Q9&amp;":"</f>
        <v>Aktienkurs in 2033:</v>
      </c>
      <c r="D42" s="21">
        <f>Q16*D40</f>
        <v>276.9528385</v>
      </c>
    </row>
    <row r="43" ht="15.75" customHeight="1">
      <c r="A43" s="30"/>
      <c r="D43" s="18"/>
    </row>
    <row r="44" ht="15.75" customHeight="1">
      <c r="A44" s="30" t="s">
        <v>27</v>
      </c>
      <c r="D44" s="20">
        <v>0.7</v>
      </c>
    </row>
    <row r="45" ht="15.75" customHeight="1">
      <c r="A45" s="30"/>
      <c r="D45" s="18"/>
    </row>
    <row r="46" ht="15.75" customHeight="1">
      <c r="A46" s="30" t="s">
        <v>28</v>
      </c>
      <c r="D46" s="21">
        <f>D44*SUM(H16:Q16)</f>
        <v>80.32684152</v>
      </c>
    </row>
    <row r="47" ht="15.75" customHeight="1">
      <c r="A47" s="30"/>
      <c r="D47" s="18"/>
    </row>
    <row r="48" ht="15.75" customHeight="1">
      <c r="A48" s="30" t="s">
        <v>29</v>
      </c>
      <c r="D48" s="20">
        <v>0.15</v>
      </c>
    </row>
    <row r="49" ht="15.75" customHeight="1">
      <c r="A49" s="30"/>
      <c r="D49" s="18"/>
    </row>
    <row r="50" ht="15.75" customHeight="1">
      <c r="A50" s="30" t="str">
        <f>"Gesamtwert "&amp;Q9</f>
        <v>Gesamtwert 2033</v>
      </c>
      <c r="D50" s="21">
        <f>D42+D46*(1-D48)</f>
        <v>345.2306538</v>
      </c>
    </row>
    <row r="51" ht="15.75" customHeight="1">
      <c r="A51" s="30"/>
      <c r="D51" s="18"/>
    </row>
    <row r="52" ht="15.75" customHeight="1">
      <c r="A52" s="30" t="str">
        <f>"Steigerung bis "&amp;Q9</f>
        <v>Steigerung bis 2033</v>
      </c>
      <c r="D52" s="20">
        <f>D50/C34-1</f>
        <v>1.772491598</v>
      </c>
    </row>
    <row r="53" ht="15.75" customHeight="1">
      <c r="A53" s="30"/>
      <c r="D53" s="18"/>
    </row>
    <row r="54" ht="15.75" customHeight="1">
      <c r="A54" s="31" t="str">
        <f>"Renditeerwartung bis "&amp;Q9&amp;" pro Jahr"</f>
        <v>Renditeerwartung bis 2033 pro Jahr</v>
      </c>
      <c r="B54" s="32"/>
      <c r="C54" s="32"/>
      <c r="D54" s="33">
        <f>(D50/C34)^(1/10)-1</f>
        <v>0.1073553899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7.44"/>
    <col customWidth="1" min="2" max="2" width="27.22"/>
    <col customWidth="1" min="3" max="18" width="10.33"/>
    <col customWidth="1" min="19" max="26" width="8.33"/>
  </cols>
  <sheetData>
    <row r="1" ht="15.75" customHeight="1"/>
    <row r="2" ht="15.75" customHeight="1">
      <c r="B2" s="1" t="s">
        <v>0</v>
      </c>
    </row>
    <row r="3" ht="15.75" customHeight="1"/>
    <row r="4" ht="15.75" customHeight="1">
      <c r="B4" s="2" t="str">
        <f>Optimistisch!B4</f>
        <v>Annahmen für Mid-America Apartment Communities</v>
      </c>
    </row>
    <row r="5" ht="15.75" customHeight="1"/>
    <row r="6" ht="15.75" customHeight="1">
      <c r="B6" s="2" t="str">
        <f>Optimistisch!B6</f>
        <v>Alle Angaben in Mrd.</v>
      </c>
    </row>
    <row r="7" ht="15.75" customHeight="1"/>
    <row r="8" ht="15.75" customHeight="1">
      <c r="A8" s="3"/>
      <c r="B8" s="3"/>
      <c r="C8" s="3"/>
      <c r="D8" s="3"/>
      <c r="E8" s="3"/>
      <c r="F8" s="3"/>
      <c r="G8" s="3"/>
      <c r="H8" s="4" t="s">
        <v>3</v>
      </c>
      <c r="I8" s="3"/>
      <c r="J8" s="3"/>
      <c r="K8" s="3"/>
      <c r="L8" s="3"/>
      <c r="M8" s="3"/>
      <c r="N8" s="3"/>
      <c r="O8" s="3"/>
      <c r="P8" s="3"/>
      <c r="Q8" s="3"/>
      <c r="R8" s="3"/>
    </row>
    <row r="9" ht="15.75" customHeight="1">
      <c r="C9" s="2">
        <f>Optimistisch!C9</f>
        <v>2019</v>
      </c>
      <c r="D9" s="2">
        <f t="shared" ref="D9:Q9" si="1">C9+1</f>
        <v>2020</v>
      </c>
      <c r="E9" s="2">
        <f t="shared" si="1"/>
        <v>2021</v>
      </c>
      <c r="F9" s="2">
        <f t="shared" si="1"/>
        <v>2022</v>
      </c>
      <c r="G9" s="2">
        <f t="shared" si="1"/>
        <v>2023</v>
      </c>
      <c r="H9" s="5">
        <f t="shared" si="1"/>
        <v>2024</v>
      </c>
      <c r="I9" s="5">
        <f t="shared" si="1"/>
        <v>2025</v>
      </c>
      <c r="J9" s="5">
        <f t="shared" si="1"/>
        <v>2026</v>
      </c>
      <c r="K9" s="5">
        <f t="shared" si="1"/>
        <v>2027</v>
      </c>
      <c r="L9" s="5">
        <f t="shared" si="1"/>
        <v>2028</v>
      </c>
      <c r="M9" s="5">
        <f t="shared" si="1"/>
        <v>2029</v>
      </c>
      <c r="N9" s="5">
        <f t="shared" si="1"/>
        <v>2030</v>
      </c>
      <c r="O9" s="5">
        <f t="shared" si="1"/>
        <v>2031</v>
      </c>
      <c r="P9" s="5">
        <f t="shared" si="1"/>
        <v>2032</v>
      </c>
      <c r="Q9" s="5">
        <f t="shared" si="1"/>
        <v>2033</v>
      </c>
      <c r="R9" s="6" t="str">
        <f>Q9+1&amp;"ff."</f>
        <v>2034ff.</v>
      </c>
    </row>
    <row r="10" ht="15.75" customHeight="1">
      <c r="B10" s="2" t="s">
        <v>4</v>
      </c>
      <c r="C10" s="7">
        <f>Optimistisch!C10</f>
        <v>1.641017</v>
      </c>
      <c r="D10" s="7">
        <f>Optimistisch!D10</f>
        <v>1.677984</v>
      </c>
      <c r="E10" s="7">
        <f>Optimistisch!E10</f>
        <v>1.778082</v>
      </c>
      <c r="F10" s="7">
        <f>Optimistisch!F10</f>
        <v>2.019866</v>
      </c>
      <c r="G10" s="7">
        <f>Optimistisch!G10</f>
        <v>2.148468</v>
      </c>
      <c r="H10" s="8">
        <f>Optimistisch!H10</f>
        <v>2.15665</v>
      </c>
      <c r="I10" s="8">
        <f>Optimistisch!I10</f>
        <v>2.21345</v>
      </c>
      <c r="J10" s="8">
        <f>Optimistisch!J10</f>
        <v>2.41468</v>
      </c>
      <c r="K10" s="8">
        <f t="shared" ref="K10:R10" si="2">J10*(1+K11)</f>
        <v>2.535414</v>
      </c>
      <c r="L10" s="8">
        <f t="shared" si="2"/>
        <v>2.59879935</v>
      </c>
      <c r="M10" s="8">
        <f t="shared" si="2"/>
        <v>2.689757327</v>
      </c>
      <c r="N10" s="8">
        <f t="shared" si="2"/>
        <v>2.810796407</v>
      </c>
      <c r="O10" s="8">
        <f t="shared" si="2"/>
        <v>2.923228263</v>
      </c>
      <c r="P10" s="8">
        <f t="shared" si="2"/>
        <v>3.010925111</v>
      </c>
      <c r="Q10" s="8">
        <f t="shared" si="2"/>
        <v>3.101252864</v>
      </c>
      <c r="R10" s="8">
        <f t="shared" si="2"/>
        <v>3.147771657</v>
      </c>
    </row>
    <row r="11" ht="15.75" customHeight="1">
      <c r="B11" s="2" t="s">
        <v>5</v>
      </c>
      <c r="C11" s="9" t="s">
        <v>6</v>
      </c>
      <c r="D11" s="10">
        <f t="shared" ref="D11:J11" si="3">D10/C10-1</f>
        <v>0.02252688424</v>
      </c>
      <c r="E11" s="10">
        <f t="shared" si="3"/>
        <v>0.05965372733</v>
      </c>
      <c r="F11" s="10">
        <f t="shared" si="3"/>
        <v>0.1359802304</v>
      </c>
      <c r="G11" s="10">
        <f t="shared" si="3"/>
        <v>0.06366857999</v>
      </c>
      <c r="H11" s="11">
        <f t="shared" si="3"/>
        <v>0.003808295027</v>
      </c>
      <c r="I11" s="11">
        <f t="shared" si="3"/>
        <v>0.02633714325</v>
      </c>
      <c r="J11" s="11">
        <f t="shared" si="3"/>
        <v>0.09091237661</v>
      </c>
      <c r="K11" s="11">
        <v>0.05</v>
      </c>
      <c r="L11" s="11">
        <v>0.025</v>
      </c>
      <c r="M11" s="11">
        <v>0.035</v>
      </c>
      <c r="N11" s="11">
        <v>0.045</v>
      </c>
      <c r="O11" s="11">
        <v>0.04</v>
      </c>
      <c r="P11" s="11">
        <v>0.03</v>
      </c>
      <c r="Q11" s="11">
        <v>0.03</v>
      </c>
      <c r="R11" s="11">
        <v>0.015</v>
      </c>
    </row>
    <row r="12" ht="15.75" customHeight="1">
      <c r="B12" s="2" t="s">
        <v>7</v>
      </c>
      <c r="C12" s="10">
        <f t="shared" ref="C12:J12" si="4">C13/C10</f>
        <v>0.471166356</v>
      </c>
      <c r="D12" s="10">
        <f t="shared" si="4"/>
        <v>0.4560794382</v>
      </c>
      <c r="E12" s="10">
        <f t="shared" si="4"/>
        <v>0.4799677405</v>
      </c>
      <c r="F12" s="10">
        <f t="shared" si="4"/>
        <v>0.4816071957</v>
      </c>
      <c r="G12" s="10">
        <f t="shared" si="4"/>
        <v>0.5230652726</v>
      </c>
      <c r="H12" s="11">
        <f t="shared" si="4"/>
        <v>0.4945887446</v>
      </c>
      <c r="I12" s="11">
        <f t="shared" si="4"/>
        <v>0.4986821297</v>
      </c>
      <c r="J12" s="11">
        <f t="shared" si="4"/>
        <v>0.4963750604</v>
      </c>
      <c r="K12" s="11">
        <v>0.495</v>
      </c>
      <c r="L12" s="11">
        <v>0.495</v>
      </c>
      <c r="M12" s="11">
        <v>0.48</v>
      </c>
      <c r="N12" s="11">
        <v>0.485</v>
      </c>
      <c r="O12" s="11">
        <v>0.47</v>
      </c>
      <c r="P12" s="11">
        <v>0.465</v>
      </c>
      <c r="Q12" s="11">
        <v>0.455</v>
      </c>
      <c r="R12" s="11">
        <v>0.45</v>
      </c>
    </row>
    <row r="13" ht="15.75" customHeight="1">
      <c r="B13" s="2" t="s">
        <v>8</v>
      </c>
      <c r="C13" s="7">
        <f>Optimistisch!C13</f>
        <v>0.773192</v>
      </c>
      <c r="D13" s="7">
        <f>Optimistisch!D13</f>
        <v>0.765294</v>
      </c>
      <c r="E13" s="7">
        <f>Optimistisch!E13</f>
        <v>0.853422</v>
      </c>
      <c r="F13" s="7">
        <f>Optimistisch!F13</f>
        <v>0.972782</v>
      </c>
      <c r="G13" s="7">
        <f>Optimistisch!G13</f>
        <v>1.123789</v>
      </c>
      <c r="H13" s="8">
        <f>Optimistisch!H13</f>
        <v>1.066654816</v>
      </c>
      <c r="I13" s="8">
        <f>Optimistisch!I13</f>
        <v>1.10380796</v>
      </c>
      <c r="J13" s="8">
        <f>Optimistisch!J13</f>
        <v>1.198586931</v>
      </c>
      <c r="K13" s="8">
        <f t="shared" ref="K13:R13" si="5">K10*K12</f>
        <v>1.25502993</v>
      </c>
      <c r="L13" s="8">
        <f t="shared" si="5"/>
        <v>1.286405678</v>
      </c>
      <c r="M13" s="8">
        <f t="shared" si="5"/>
        <v>1.291083517</v>
      </c>
      <c r="N13" s="8">
        <f t="shared" si="5"/>
        <v>1.363236257</v>
      </c>
      <c r="O13" s="8">
        <f t="shared" si="5"/>
        <v>1.373917284</v>
      </c>
      <c r="P13" s="8">
        <f t="shared" si="5"/>
        <v>1.400080177</v>
      </c>
      <c r="Q13" s="8">
        <f t="shared" si="5"/>
        <v>1.411070053</v>
      </c>
      <c r="R13" s="8">
        <f t="shared" si="5"/>
        <v>1.416497246</v>
      </c>
    </row>
    <row r="14" ht="15.75" hidden="1" customHeight="1">
      <c r="A14" s="11">
        <v>0.25</v>
      </c>
      <c r="B14" s="2" t="s">
        <v>9</v>
      </c>
      <c r="C14" s="7" t="str">
        <f>Optimistisch!C14</f>
        <v/>
      </c>
      <c r="D14" s="7" t="str">
        <f>Optimistisch!D14</f>
        <v/>
      </c>
      <c r="E14" s="7" t="str">
        <f>Optimistisch!E14</f>
        <v/>
      </c>
      <c r="F14" s="7" t="str">
        <f>Optimistisch!F14</f>
        <v/>
      </c>
      <c r="G14" s="7" t="str">
        <f>Optimistisch!G14</f>
        <v/>
      </c>
      <c r="H14" s="8" t="str">
        <f>Optimistisch!H14</f>
        <v/>
      </c>
      <c r="I14" s="8" t="str">
        <f>Optimistisch!I14</f>
        <v/>
      </c>
      <c r="J14" s="8" t="str">
        <f>Optimistisch!J14</f>
        <v/>
      </c>
      <c r="K14" s="8">
        <f t="shared" ref="K14:R14" si="6">K13*(1-$A$14)</f>
        <v>0.9412724475</v>
      </c>
      <c r="L14" s="8">
        <f t="shared" si="6"/>
        <v>0.9648042587</v>
      </c>
      <c r="M14" s="8">
        <f t="shared" si="6"/>
        <v>0.9683126378</v>
      </c>
      <c r="N14" s="8">
        <f t="shared" si="6"/>
        <v>1.022427193</v>
      </c>
      <c r="O14" s="8">
        <f t="shared" si="6"/>
        <v>1.030437963</v>
      </c>
      <c r="P14" s="8">
        <f t="shared" si="6"/>
        <v>1.050060133</v>
      </c>
      <c r="Q14" s="8">
        <f t="shared" si="6"/>
        <v>1.05830254</v>
      </c>
      <c r="R14" s="8">
        <f t="shared" si="6"/>
        <v>1.062372934</v>
      </c>
    </row>
    <row r="15" ht="15.75" customHeight="1">
      <c r="A15" s="11">
        <v>1.01</v>
      </c>
      <c r="B15" s="2" t="s">
        <v>10</v>
      </c>
      <c r="H15" s="8">
        <f>C33</f>
        <v>0.11669</v>
      </c>
      <c r="I15" s="8">
        <f t="shared" ref="I15:Q15" si="7">H15*$A$15</f>
        <v>0.1178569</v>
      </c>
      <c r="J15" s="8">
        <f t="shared" si="7"/>
        <v>0.119035469</v>
      </c>
      <c r="K15" s="8">
        <f t="shared" si="7"/>
        <v>0.1202258237</v>
      </c>
      <c r="L15" s="8">
        <f t="shared" si="7"/>
        <v>0.1214280819</v>
      </c>
      <c r="M15" s="8">
        <f t="shared" si="7"/>
        <v>0.1226423627</v>
      </c>
      <c r="N15" s="8">
        <f t="shared" si="7"/>
        <v>0.1238687864</v>
      </c>
      <c r="O15" s="8">
        <f t="shared" si="7"/>
        <v>0.1251074742</v>
      </c>
      <c r="P15" s="8">
        <f t="shared" si="7"/>
        <v>0.126358549</v>
      </c>
      <c r="Q15" s="8">
        <f t="shared" si="7"/>
        <v>0.1276221345</v>
      </c>
      <c r="R15" s="6" t="s">
        <v>6</v>
      </c>
    </row>
    <row r="16" ht="15.75" customHeight="1">
      <c r="B16" s="2" t="s">
        <v>11</v>
      </c>
      <c r="H16" s="8">
        <f t="shared" ref="H16:Q16" si="8">H13/H15</f>
        <v>9.14092738</v>
      </c>
      <c r="I16" s="8">
        <f t="shared" si="8"/>
        <v>9.365662595</v>
      </c>
      <c r="J16" s="8">
        <f t="shared" si="8"/>
        <v>10.06915788</v>
      </c>
      <c r="K16" s="8">
        <f t="shared" si="8"/>
        <v>10.43893809</v>
      </c>
      <c r="L16" s="8">
        <f t="shared" si="8"/>
        <v>10.59397182</v>
      </c>
      <c r="M16" s="8">
        <f t="shared" si="8"/>
        <v>10.52722312</v>
      </c>
      <c r="N16" s="8">
        <f t="shared" si="8"/>
        <v>11.00548651</v>
      </c>
      <c r="O16" s="8">
        <f t="shared" si="8"/>
        <v>10.9818961</v>
      </c>
      <c r="P16" s="8">
        <f t="shared" si="8"/>
        <v>11.08021727</v>
      </c>
      <c r="Q16" s="8">
        <f t="shared" si="8"/>
        <v>11.05662477</v>
      </c>
      <c r="R16" s="6" t="s">
        <v>6</v>
      </c>
    </row>
    <row r="17" ht="15.75" customHeight="1">
      <c r="F17" s="12" t="s">
        <v>12</v>
      </c>
      <c r="G17" s="13"/>
      <c r="H17" s="14">
        <f t="shared" ref="H17:Q17" si="9">H13/(1+$B$29)</f>
        <v>1.000572036</v>
      </c>
      <c r="I17" s="14">
        <f t="shared" si="9"/>
        <v>1.03542342</v>
      </c>
      <c r="J17" s="14">
        <f t="shared" si="9"/>
        <v>1.124330522</v>
      </c>
      <c r="K17" s="14">
        <f t="shared" si="9"/>
        <v>1.177276691</v>
      </c>
      <c r="L17" s="14">
        <f t="shared" si="9"/>
        <v>1.206708608</v>
      </c>
      <c r="M17" s="14">
        <f t="shared" si="9"/>
        <v>1.21109664</v>
      </c>
      <c r="N17" s="14">
        <f t="shared" si="9"/>
        <v>1.27877928</v>
      </c>
      <c r="O17" s="14">
        <f t="shared" si="9"/>
        <v>1.288798581</v>
      </c>
      <c r="P17" s="14">
        <f t="shared" si="9"/>
        <v>1.313340597</v>
      </c>
      <c r="Q17" s="14">
        <f t="shared" si="9"/>
        <v>1.323649615</v>
      </c>
      <c r="R17" s="15">
        <f>(R13/(B29-R11))/(1+B29)^10</f>
        <v>14.6388564</v>
      </c>
    </row>
    <row r="18" ht="15.75" customHeight="1"/>
    <row r="19" ht="15.75" customHeight="1">
      <c r="A19" s="16" t="s">
        <v>13</v>
      </c>
      <c r="B19" s="17"/>
    </row>
    <row r="20" ht="15.75" customHeight="1">
      <c r="B20" s="18"/>
    </row>
    <row r="21" ht="15.75" customHeight="1">
      <c r="A21" s="2" t="s">
        <v>14</v>
      </c>
      <c r="B21" s="20">
        <f>Optimistisch!B21</f>
        <v>0.04175</v>
      </c>
    </row>
    <row r="22" ht="15.75" customHeight="1">
      <c r="B22" s="18"/>
    </row>
    <row r="23" ht="15.75" customHeight="1">
      <c r="A23" s="2" t="s">
        <v>15</v>
      </c>
      <c r="B23" s="20">
        <f>(B25-B21)*B27</f>
        <v>0.024295</v>
      </c>
    </row>
    <row r="24" ht="15.75" customHeight="1">
      <c r="B24" s="18"/>
    </row>
    <row r="25" ht="15.75" customHeight="1">
      <c r="A25" s="2" t="s">
        <v>16</v>
      </c>
      <c r="B25" s="20">
        <f>Optimistisch!B25</f>
        <v>0.07</v>
      </c>
    </row>
    <row r="26" ht="15.75" customHeight="1">
      <c r="B26" s="18"/>
    </row>
    <row r="27" ht="15.75" customHeight="1">
      <c r="A27" s="2" t="s">
        <v>17</v>
      </c>
      <c r="B27" s="21">
        <f>Optimistisch!B27</f>
        <v>0.86</v>
      </c>
    </row>
    <row r="28" ht="15.75" customHeight="1">
      <c r="B28" s="18"/>
    </row>
    <row r="29" ht="15.75" customHeight="1">
      <c r="A29" s="22" t="s">
        <v>18</v>
      </c>
      <c r="B29" s="23">
        <f>B21+(B25-B21)*B27</f>
        <v>0.066045</v>
      </c>
    </row>
    <row r="30" ht="15.75" customHeight="1"/>
    <row r="31" ht="15.75" customHeight="1">
      <c r="A31" s="3"/>
      <c r="B31" s="3"/>
      <c r="C31" s="24">
        <f>Optimistisch!C31</f>
        <v>45331</v>
      </c>
      <c r="D31" s="25" t="s">
        <v>19</v>
      </c>
    </row>
    <row r="32" ht="15.75" customHeight="1">
      <c r="A32" s="5" t="s">
        <v>20</v>
      </c>
      <c r="B32" s="5" t="s">
        <v>21</v>
      </c>
      <c r="C32" s="8">
        <f>C33*C34</f>
        <v>14.5302388</v>
      </c>
      <c r="D32" s="8">
        <f>SUM(H17:R17)</f>
        <v>26.59883239</v>
      </c>
    </row>
    <row r="33" ht="15.75" customHeight="1">
      <c r="A33" s="5"/>
      <c r="B33" s="5" t="s">
        <v>22</v>
      </c>
      <c r="C33" s="8">
        <f>Optimistisch!C33</f>
        <v>0.11669</v>
      </c>
      <c r="D33" s="8">
        <f>C33</f>
        <v>0.11669</v>
      </c>
    </row>
    <row r="34" ht="15.75" customHeight="1">
      <c r="A34" s="5"/>
      <c r="B34" s="5" t="s">
        <v>23</v>
      </c>
      <c r="C34" s="8">
        <f>Optimistisch!C34</f>
        <v>124.52</v>
      </c>
      <c r="D34" s="8">
        <f>D32/D33</f>
        <v>227.9444031</v>
      </c>
    </row>
    <row r="35" ht="15.75" customHeight="1">
      <c r="A35" s="5"/>
      <c r="B35" s="5" t="s">
        <v>24</v>
      </c>
      <c r="C35" s="5"/>
      <c r="D35" s="11">
        <f>IF(C34/D34-1&gt;0,0,C34/D34-1)*-1</f>
        <v>0.4537264424</v>
      </c>
    </row>
    <row r="36" ht="15.75" customHeight="1">
      <c r="A36" s="5"/>
      <c r="B36" s="5" t="s">
        <v>25</v>
      </c>
      <c r="C36" s="5"/>
      <c r="D36" s="11">
        <f>IF(C34/D34-1&lt;0,0,C34/D34-1)</f>
        <v>0</v>
      </c>
    </row>
    <row r="37" ht="15.75" customHeight="1">
      <c r="A37" s="27"/>
      <c r="B37" s="27"/>
      <c r="C37" s="27"/>
      <c r="D37" s="27"/>
    </row>
    <row r="38" ht="15.75" customHeight="1">
      <c r="A38" s="28" t="s">
        <v>26</v>
      </c>
      <c r="B38" s="29"/>
      <c r="C38" s="29"/>
      <c r="D38" s="17"/>
    </row>
    <row r="39" ht="15.75" customHeight="1">
      <c r="A39" s="30"/>
      <c r="D39" s="18"/>
    </row>
    <row r="40" ht="15.75" customHeight="1">
      <c r="A40" s="30" t="str">
        <f>"KFFOV in "&amp;Q9&amp;":"</f>
        <v>KFFOV in 2033:</v>
      </c>
      <c r="D40" s="21">
        <v>14.0</v>
      </c>
    </row>
    <row r="41" ht="15.75" customHeight="1">
      <c r="A41" s="30"/>
      <c r="D41" s="18"/>
    </row>
    <row r="42" ht="15.75" customHeight="1">
      <c r="A42" s="30" t="str">
        <f>"Aktienkurs in "&amp;Q9&amp;":"</f>
        <v>Aktienkurs in 2033:</v>
      </c>
      <c r="D42" s="21">
        <f>Q16*D40</f>
        <v>154.7927468</v>
      </c>
    </row>
    <row r="43" ht="15.75" customHeight="1">
      <c r="A43" s="30"/>
      <c r="D43" s="18"/>
    </row>
    <row r="44" ht="15.75" customHeight="1">
      <c r="A44" s="30" t="s">
        <v>27</v>
      </c>
      <c r="D44" s="20">
        <v>0.55</v>
      </c>
    </row>
    <row r="45" ht="15.75" customHeight="1">
      <c r="A45" s="30"/>
      <c r="D45" s="18"/>
    </row>
    <row r="46" ht="15.75" customHeight="1">
      <c r="A46" s="30" t="s">
        <v>28</v>
      </c>
      <c r="D46" s="21">
        <f>D44*SUM(H16:Q16)</f>
        <v>57.34305805</v>
      </c>
    </row>
    <row r="47" ht="15.75" customHeight="1">
      <c r="A47" s="30"/>
      <c r="D47" s="18"/>
    </row>
    <row r="48" ht="15.75" customHeight="1">
      <c r="A48" s="30" t="s">
        <v>29</v>
      </c>
      <c r="D48" s="20">
        <f>Optimistisch!D48</f>
        <v>0.15</v>
      </c>
    </row>
    <row r="49" ht="15.75" customHeight="1">
      <c r="A49" s="30"/>
      <c r="D49" s="18"/>
    </row>
    <row r="50" ht="15.75" customHeight="1">
      <c r="A50" s="30" t="str">
        <f>"Gesamtwert "&amp;Q9</f>
        <v>Gesamtwert 2033</v>
      </c>
      <c r="D50" s="21">
        <f>D42+D46*(1-D48)</f>
        <v>203.5343461</v>
      </c>
    </row>
    <row r="51" ht="15.75" customHeight="1">
      <c r="A51" s="30"/>
      <c r="D51" s="18"/>
    </row>
    <row r="52" ht="15.75" customHeight="1">
      <c r="A52" s="30" t="str">
        <f>"Steigerung bis "&amp;Q9</f>
        <v>Steigerung bis 2033</v>
      </c>
      <c r="D52" s="20">
        <f>D50/C34-1</f>
        <v>0.6345514467</v>
      </c>
    </row>
    <row r="53" ht="15.75" customHeight="1">
      <c r="A53" s="30"/>
      <c r="D53" s="18"/>
    </row>
    <row r="54" ht="15.75" customHeight="1">
      <c r="A54" s="31" t="str">
        <f>"Renditeerwartung bis "&amp;Q9&amp;" pro Jahr"</f>
        <v>Renditeerwartung bis 2033 pro Jahr</v>
      </c>
      <c r="B54" s="32"/>
      <c r="C54" s="32"/>
      <c r="D54" s="33">
        <f>(D50/C34)^(1/10)-1</f>
        <v>0.05036407505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7.44"/>
    <col customWidth="1" min="2" max="2" width="27.22"/>
    <col customWidth="1" min="3" max="18" width="10.33"/>
    <col customWidth="1" min="19" max="26" width="8.33"/>
  </cols>
  <sheetData>
    <row r="1" ht="15.75" customHeight="1"/>
    <row r="2" ht="15.75" customHeight="1">
      <c r="B2" s="1" t="s">
        <v>0</v>
      </c>
    </row>
    <row r="3" ht="15.75" customHeight="1"/>
    <row r="4" ht="15.75" customHeight="1">
      <c r="B4" s="2" t="str">
        <f>Optimistisch!B4</f>
        <v>Annahmen für Mid-America Apartment Communities</v>
      </c>
    </row>
    <row r="5" ht="15.75" customHeight="1"/>
    <row r="6" ht="15.75" customHeight="1">
      <c r="B6" s="2" t="str">
        <f>Optimistisch!B6</f>
        <v>Alle Angaben in Mrd.</v>
      </c>
    </row>
    <row r="7" ht="15.75" customHeight="1"/>
    <row r="8" ht="15.75" customHeight="1">
      <c r="A8" s="3"/>
      <c r="B8" s="3"/>
      <c r="C8" s="3"/>
      <c r="D8" s="3"/>
      <c r="E8" s="3"/>
      <c r="F8" s="3"/>
      <c r="G8" s="3"/>
      <c r="H8" s="4" t="s">
        <v>3</v>
      </c>
      <c r="I8" s="3"/>
      <c r="J8" s="3"/>
      <c r="K8" s="3"/>
      <c r="L8" s="3"/>
      <c r="M8" s="3"/>
      <c r="N8" s="3"/>
      <c r="O8" s="3"/>
      <c r="P8" s="3"/>
      <c r="Q8" s="3"/>
      <c r="R8" s="3"/>
    </row>
    <row r="9" ht="15.75" customHeight="1">
      <c r="C9" s="2">
        <f>Optimistisch!C9</f>
        <v>2019</v>
      </c>
      <c r="D9" s="2">
        <f t="shared" ref="D9:Q9" si="1">C9+1</f>
        <v>2020</v>
      </c>
      <c r="E9" s="2">
        <f t="shared" si="1"/>
        <v>2021</v>
      </c>
      <c r="F9" s="2">
        <f t="shared" si="1"/>
        <v>2022</v>
      </c>
      <c r="G9" s="2">
        <f t="shared" si="1"/>
        <v>2023</v>
      </c>
      <c r="H9" s="5">
        <f t="shared" si="1"/>
        <v>2024</v>
      </c>
      <c r="I9" s="5">
        <f t="shared" si="1"/>
        <v>2025</v>
      </c>
      <c r="J9" s="5">
        <f t="shared" si="1"/>
        <v>2026</v>
      </c>
      <c r="K9" s="5">
        <f t="shared" si="1"/>
        <v>2027</v>
      </c>
      <c r="L9" s="5">
        <f t="shared" si="1"/>
        <v>2028</v>
      </c>
      <c r="M9" s="5">
        <f t="shared" si="1"/>
        <v>2029</v>
      </c>
      <c r="N9" s="5">
        <f t="shared" si="1"/>
        <v>2030</v>
      </c>
      <c r="O9" s="5">
        <f t="shared" si="1"/>
        <v>2031</v>
      </c>
      <c r="P9" s="5">
        <f t="shared" si="1"/>
        <v>2032</v>
      </c>
      <c r="Q9" s="5">
        <f t="shared" si="1"/>
        <v>2033</v>
      </c>
      <c r="R9" s="6" t="str">
        <f>Q9+1&amp;"ff."</f>
        <v>2034ff.</v>
      </c>
    </row>
    <row r="10" ht="15.75" customHeight="1">
      <c r="B10" s="2" t="s">
        <v>4</v>
      </c>
      <c r="C10" s="7">
        <f>Optimistisch!C10</f>
        <v>1.641017</v>
      </c>
      <c r="D10" s="7">
        <f>Optimistisch!D10</f>
        <v>1.677984</v>
      </c>
      <c r="E10" s="7">
        <f>Optimistisch!E10</f>
        <v>1.778082</v>
      </c>
      <c r="F10" s="7">
        <f>Optimistisch!F10</f>
        <v>2.019866</v>
      </c>
      <c r="G10" s="7">
        <f>Optimistisch!G10</f>
        <v>2.148468</v>
      </c>
      <c r="H10" s="8">
        <f t="shared" ref="H10:R10" si="2">G10*(1+H11)</f>
        <v>2.032450728</v>
      </c>
      <c r="I10" s="8">
        <f t="shared" si="2"/>
        <v>1.922698389</v>
      </c>
      <c r="J10" s="8">
        <f t="shared" si="2"/>
        <v>1.818872676</v>
      </c>
      <c r="K10" s="8">
        <f t="shared" si="2"/>
        <v>1.720653551</v>
      </c>
      <c r="L10" s="8">
        <f t="shared" si="2"/>
        <v>1.627738259</v>
      </c>
      <c r="M10" s="8">
        <f t="shared" si="2"/>
        <v>1.539840393</v>
      </c>
      <c r="N10" s="8">
        <f t="shared" si="2"/>
        <v>1.456689012</v>
      </c>
      <c r="O10" s="8">
        <f t="shared" si="2"/>
        <v>1.378027806</v>
      </c>
      <c r="P10" s="8">
        <f t="shared" si="2"/>
        <v>1.303614304</v>
      </c>
      <c r="Q10" s="8">
        <f t="shared" si="2"/>
        <v>1.233219132</v>
      </c>
      <c r="R10" s="8">
        <f t="shared" si="2"/>
        <v>1.257883514</v>
      </c>
    </row>
    <row r="11" ht="15.75" customHeight="1">
      <c r="B11" s="2" t="s">
        <v>5</v>
      </c>
      <c r="C11" s="9" t="s">
        <v>6</v>
      </c>
      <c r="D11" s="10">
        <f t="shared" ref="D11:G11" si="3">D10/C10-1</f>
        <v>0.02252688424</v>
      </c>
      <c r="E11" s="10">
        <f t="shared" si="3"/>
        <v>0.05965372733</v>
      </c>
      <c r="F11" s="10">
        <f t="shared" si="3"/>
        <v>0.1359802304</v>
      </c>
      <c r="G11" s="10">
        <f t="shared" si="3"/>
        <v>0.06366857999</v>
      </c>
      <c r="H11" s="11">
        <v>-0.054</v>
      </c>
      <c r="I11" s="11">
        <f t="shared" ref="I11:Q11" si="4">$H$11</f>
        <v>-0.054</v>
      </c>
      <c r="J11" s="11">
        <f t="shared" si="4"/>
        <v>-0.054</v>
      </c>
      <c r="K11" s="11">
        <f t="shared" si="4"/>
        <v>-0.054</v>
      </c>
      <c r="L11" s="11">
        <f t="shared" si="4"/>
        <v>-0.054</v>
      </c>
      <c r="M11" s="11">
        <f t="shared" si="4"/>
        <v>-0.054</v>
      </c>
      <c r="N11" s="11">
        <f t="shared" si="4"/>
        <v>-0.054</v>
      </c>
      <c r="O11" s="11">
        <f t="shared" si="4"/>
        <v>-0.054</v>
      </c>
      <c r="P11" s="11">
        <f t="shared" si="4"/>
        <v>-0.054</v>
      </c>
      <c r="Q11" s="11">
        <f t="shared" si="4"/>
        <v>-0.054</v>
      </c>
      <c r="R11" s="11">
        <f>Optimistisch!R11</f>
        <v>0.02</v>
      </c>
    </row>
    <row r="12" ht="15.75" customHeight="1">
      <c r="B12" s="2" t="s">
        <v>7</v>
      </c>
      <c r="C12" s="10">
        <f t="shared" ref="C12:G12" si="5">C13/C10</f>
        <v>0.471166356</v>
      </c>
      <c r="D12" s="10">
        <f t="shared" si="5"/>
        <v>0.4560794382</v>
      </c>
      <c r="E12" s="10">
        <f t="shared" si="5"/>
        <v>0.4799677405</v>
      </c>
      <c r="F12" s="10">
        <f t="shared" si="5"/>
        <v>0.4816071957</v>
      </c>
      <c r="G12" s="10">
        <f t="shared" si="5"/>
        <v>0.5230652726</v>
      </c>
      <c r="H12" s="11">
        <f>Optimistisch!H12</f>
        <v>0.4945887446</v>
      </c>
      <c r="I12" s="11">
        <f>Optimistisch!I12</f>
        <v>0.4986821297</v>
      </c>
      <c r="J12" s="11">
        <f>Optimistisch!J12</f>
        <v>0.4963750604</v>
      </c>
      <c r="K12" s="11">
        <f>Optimistisch!K12</f>
        <v>0.4975</v>
      </c>
      <c r="L12" s="11">
        <f>Optimistisch!L12</f>
        <v>0.5</v>
      </c>
      <c r="M12" s="11">
        <f>Optimistisch!M12</f>
        <v>0.5025</v>
      </c>
      <c r="N12" s="11">
        <f>Optimistisch!N12</f>
        <v>0.505</v>
      </c>
      <c r="O12" s="11">
        <f>Optimistisch!O12</f>
        <v>0.485</v>
      </c>
      <c r="P12" s="11">
        <f>Optimistisch!P12</f>
        <v>0.4825</v>
      </c>
      <c r="Q12" s="11">
        <f>Optimistisch!Q12</f>
        <v>0.5</v>
      </c>
      <c r="R12" s="11">
        <f>Optimistisch!R12</f>
        <v>0.495</v>
      </c>
    </row>
    <row r="13" ht="15.75" customHeight="1">
      <c r="B13" s="2" t="s">
        <v>8</v>
      </c>
      <c r="C13" s="7">
        <f>Optimistisch!C13</f>
        <v>0.773192</v>
      </c>
      <c r="D13" s="7">
        <f>Optimistisch!D13</f>
        <v>0.765294</v>
      </c>
      <c r="E13" s="7">
        <f>Optimistisch!E13</f>
        <v>0.853422</v>
      </c>
      <c r="F13" s="7">
        <f>Optimistisch!F13</f>
        <v>0.972782</v>
      </c>
      <c r="G13" s="7">
        <f>Optimistisch!G13</f>
        <v>1.123789</v>
      </c>
      <c r="H13" s="8">
        <f t="shared" ref="H13:R13" si="6">H10*H12</f>
        <v>1.005227254</v>
      </c>
      <c r="I13" s="8">
        <f t="shared" si="6"/>
        <v>0.9588153272</v>
      </c>
      <c r="J13" s="8">
        <f t="shared" si="6"/>
        <v>0.9028430343</v>
      </c>
      <c r="K13" s="8">
        <f t="shared" si="6"/>
        <v>0.8560251417</v>
      </c>
      <c r="L13" s="8">
        <f t="shared" si="6"/>
        <v>0.8138691297</v>
      </c>
      <c r="M13" s="8">
        <f t="shared" si="6"/>
        <v>0.7737697977</v>
      </c>
      <c r="N13" s="8">
        <f t="shared" si="6"/>
        <v>0.7356279512</v>
      </c>
      <c r="O13" s="8">
        <f t="shared" si="6"/>
        <v>0.6683434857</v>
      </c>
      <c r="P13" s="8">
        <f t="shared" si="6"/>
        <v>0.6289939017</v>
      </c>
      <c r="Q13" s="8">
        <f t="shared" si="6"/>
        <v>0.6166095658</v>
      </c>
      <c r="R13" s="8">
        <f t="shared" si="6"/>
        <v>0.6226523396</v>
      </c>
    </row>
    <row r="14" ht="15.75" hidden="1" customHeight="1">
      <c r="A14" s="11">
        <f>Optimistisch!A14</f>
        <v>0.25</v>
      </c>
      <c r="B14" s="2" t="s">
        <v>9</v>
      </c>
      <c r="C14" s="7" t="str">
        <f>Optimistisch!C14</f>
        <v/>
      </c>
      <c r="D14" s="7" t="str">
        <f>Optimistisch!D14</f>
        <v/>
      </c>
      <c r="E14" s="7" t="str">
        <f>Optimistisch!E14</f>
        <v/>
      </c>
      <c r="F14" s="7" t="str">
        <f>Optimistisch!F14</f>
        <v/>
      </c>
      <c r="G14" s="7" t="str">
        <f>Optimistisch!G14</f>
        <v/>
      </c>
      <c r="H14" s="8">
        <f t="shared" ref="H14:R14" si="7">H13*(1-$A$14)</f>
        <v>0.7539204405</v>
      </c>
      <c r="I14" s="8">
        <f t="shared" si="7"/>
        <v>0.7191114954</v>
      </c>
      <c r="J14" s="8">
        <f t="shared" si="7"/>
        <v>0.6771322757</v>
      </c>
      <c r="K14" s="8">
        <f t="shared" si="7"/>
        <v>0.6420188563</v>
      </c>
      <c r="L14" s="8">
        <f t="shared" si="7"/>
        <v>0.6104018473</v>
      </c>
      <c r="M14" s="8">
        <f t="shared" si="7"/>
        <v>0.5803273483</v>
      </c>
      <c r="N14" s="8">
        <f t="shared" si="7"/>
        <v>0.5517209634</v>
      </c>
      <c r="O14" s="8">
        <f t="shared" si="7"/>
        <v>0.5012576143</v>
      </c>
      <c r="P14" s="8">
        <f t="shared" si="7"/>
        <v>0.4717454263</v>
      </c>
      <c r="Q14" s="8">
        <f t="shared" si="7"/>
        <v>0.4624571744</v>
      </c>
      <c r="R14" s="8">
        <f t="shared" si="7"/>
        <v>0.4669892547</v>
      </c>
    </row>
    <row r="15" ht="15.75" customHeight="1">
      <c r="A15" s="11">
        <f>Optimistisch!A15</f>
        <v>1.005</v>
      </c>
      <c r="B15" s="2" t="s">
        <v>10</v>
      </c>
      <c r="H15" s="8">
        <f>C33</f>
        <v>0.11669</v>
      </c>
      <c r="I15" s="8">
        <f t="shared" ref="I15:Q15" si="8">H15*$A$15</f>
        <v>0.11727345</v>
      </c>
      <c r="J15" s="8">
        <f t="shared" si="8"/>
        <v>0.1178598173</v>
      </c>
      <c r="K15" s="8">
        <f t="shared" si="8"/>
        <v>0.1184491163</v>
      </c>
      <c r="L15" s="8">
        <f t="shared" si="8"/>
        <v>0.1190413619</v>
      </c>
      <c r="M15" s="8">
        <f t="shared" si="8"/>
        <v>0.1196365687</v>
      </c>
      <c r="N15" s="8">
        <f t="shared" si="8"/>
        <v>0.1202347516</v>
      </c>
      <c r="O15" s="8">
        <f t="shared" si="8"/>
        <v>0.1208359253</v>
      </c>
      <c r="P15" s="8">
        <f t="shared" si="8"/>
        <v>0.121440105</v>
      </c>
      <c r="Q15" s="8">
        <f t="shared" si="8"/>
        <v>0.1220473055</v>
      </c>
      <c r="R15" s="6" t="s">
        <v>6</v>
      </c>
    </row>
    <row r="16" ht="15.75" customHeight="1">
      <c r="B16" s="2" t="s">
        <v>11</v>
      </c>
      <c r="H16" s="8">
        <f t="shared" ref="H16:Q16" si="9">H13/H15</f>
        <v>8.614510704</v>
      </c>
      <c r="I16" s="8">
        <f t="shared" si="9"/>
        <v>8.175894264</v>
      </c>
      <c r="J16" s="8">
        <f t="shared" si="9"/>
        <v>7.660312525</v>
      </c>
      <c r="K16" s="8">
        <f t="shared" si="9"/>
        <v>7.226944094</v>
      </c>
      <c r="L16" s="8">
        <f t="shared" si="9"/>
        <v>6.836860034</v>
      </c>
      <c r="M16" s="8">
        <f t="shared" si="9"/>
        <v>6.467669592</v>
      </c>
      <c r="N16" s="8">
        <f t="shared" si="9"/>
        <v>6.118263992</v>
      </c>
      <c r="O16" s="8">
        <f t="shared" si="9"/>
        <v>5.530999857</v>
      </c>
      <c r="P16" s="8">
        <f t="shared" si="9"/>
        <v>5.179457823</v>
      </c>
      <c r="Q16" s="8">
        <f t="shared" si="9"/>
        <v>5.052217772</v>
      </c>
      <c r="R16" s="6" t="s">
        <v>6</v>
      </c>
    </row>
    <row r="17" ht="15.75" customHeight="1">
      <c r="F17" s="12" t="s">
        <v>12</v>
      </c>
      <c r="G17" s="13"/>
      <c r="H17" s="14">
        <f t="shared" ref="H17:Q17" si="10">H13/(1+$B$29)</f>
        <v>0.9429501137</v>
      </c>
      <c r="I17" s="14">
        <f t="shared" si="10"/>
        <v>0.8994135587</v>
      </c>
      <c r="J17" s="14">
        <f t="shared" si="10"/>
        <v>0.8469089338</v>
      </c>
      <c r="K17" s="14">
        <f t="shared" si="10"/>
        <v>0.8029915639</v>
      </c>
      <c r="L17" s="14">
        <f t="shared" si="10"/>
        <v>0.7634472557</v>
      </c>
      <c r="M17" s="14">
        <f t="shared" si="10"/>
        <v>0.7258322094</v>
      </c>
      <c r="N17" s="14">
        <f t="shared" si="10"/>
        <v>0.6900533759</v>
      </c>
      <c r="O17" s="14">
        <f t="shared" si="10"/>
        <v>0.6269374048</v>
      </c>
      <c r="P17" s="14">
        <f t="shared" si="10"/>
        <v>0.5900256572</v>
      </c>
      <c r="Q17" s="14">
        <f t="shared" si="10"/>
        <v>0.5784085717</v>
      </c>
      <c r="R17" s="15">
        <f>(R13/(B29-R11))/(1+B29)^10</f>
        <v>7.133583865</v>
      </c>
    </row>
    <row r="18" ht="15.75" customHeight="1"/>
    <row r="19" ht="15.75" customHeight="1">
      <c r="A19" s="16" t="s">
        <v>13</v>
      </c>
      <c r="B19" s="17"/>
    </row>
    <row r="20" ht="15.75" customHeight="1">
      <c r="B20" s="18"/>
    </row>
    <row r="21" ht="15.75" customHeight="1">
      <c r="A21" s="2" t="s">
        <v>14</v>
      </c>
      <c r="B21" s="20">
        <f>Optimistisch!B21</f>
        <v>0.04175</v>
      </c>
    </row>
    <row r="22" ht="15.75" customHeight="1">
      <c r="B22" s="18"/>
    </row>
    <row r="23" ht="15.75" customHeight="1">
      <c r="A23" s="2" t="s">
        <v>15</v>
      </c>
      <c r="B23" s="20">
        <f>(B25-B21)*B27</f>
        <v>0.024295</v>
      </c>
    </row>
    <row r="24" ht="15.75" customHeight="1">
      <c r="B24" s="18"/>
    </row>
    <row r="25" ht="15.75" customHeight="1">
      <c r="A25" s="2" t="s">
        <v>16</v>
      </c>
      <c r="B25" s="20">
        <f>Optimistisch!B25</f>
        <v>0.07</v>
      </c>
    </row>
    <row r="26" ht="15.75" customHeight="1">
      <c r="B26" s="18"/>
    </row>
    <row r="27" ht="15.75" customHeight="1">
      <c r="A27" s="2" t="s">
        <v>17</v>
      </c>
      <c r="B27" s="21">
        <f>Optimistisch!B27</f>
        <v>0.86</v>
      </c>
    </row>
    <row r="28" ht="15.75" customHeight="1">
      <c r="B28" s="18"/>
    </row>
    <row r="29" ht="15.75" customHeight="1">
      <c r="A29" s="22" t="s">
        <v>18</v>
      </c>
      <c r="B29" s="23">
        <f>B21+(B25-B21)*B27</f>
        <v>0.066045</v>
      </c>
    </row>
    <row r="30" ht="15.75" customHeight="1"/>
    <row r="31" ht="15.75" customHeight="1">
      <c r="A31" s="3"/>
      <c r="B31" s="3"/>
      <c r="C31" s="24">
        <f>Optimistisch!C31</f>
        <v>45331</v>
      </c>
      <c r="D31" s="25" t="s">
        <v>19</v>
      </c>
    </row>
    <row r="32" ht="15.75" customHeight="1">
      <c r="A32" s="5" t="s">
        <v>20</v>
      </c>
      <c r="B32" s="5" t="s">
        <v>21</v>
      </c>
      <c r="C32" s="8">
        <f>C33*C34</f>
        <v>14.5302388</v>
      </c>
      <c r="D32" s="8">
        <f>SUM(H17:R17)</f>
        <v>14.60055251</v>
      </c>
    </row>
    <row r="33" ht="15.75" customHeight="1">
      <c r="A33" s="5"/>
      <c r="B33" s="5" t="s">
        <v>22</v>
      </c>
      <c r="C33" s="8">
        <f>Optimistisch!C33</f>
        <v>0.11669</v>
      </c>
      <c r="D33" s="8">
        <f>C33</f>
        <v>0.11669</v>
      </c>
    </row>
    <row r="34" ht="15.75" customHeight="1">
      <c r="A34" s="5"/>
      <c r="B34" s="5" t="s">
        <v>23</v>
      </c>
      <c r="C34" s="8">
        <f>Optimistisch!C34</f>
        <v>124.52</v>
      </c>
      <c r="D34" s="8">
        <f>D32/D33</f>
        <v>125.1225684</v>
      </c>
    </row>
    <row r="35" ht="15.75" customHeight="1">
      <c r="A35" s="5"/>
      <c r="B35" s="5" t="s">
        <v>24</v>
      </c>
      <c r="C35" s="5"/>
      <c r="D35" s="11">
        <f>IF(C34/D34-1&gt;0,0,C34/D34-1)*-1</f>
        <v>0.004815825292</v>
      </c>
    </row>
    <row r="36" ht="15.75" customHeight="1">
      <c r="A36" s="5"/>
      <c r="B36" s="5" t="s">
        <v>25</v>
      </c>
      <c r="C36" s="5"/>
      <c r="D36" s="11">
        <f>IF(C34/D34-1&lt;0,0,C34/D34-1)</f>
        <v>0</v>
      </c>
    </row>
    <row r="37" ht="15.75" customHeight="1">
      <c r="A37" s="27"/>
      <c r="B37" s="27"/>
      <c r="C37" s="27"/>
      <c r="D37" s="27"/>
    </row>
    <row r="38" ht="15.75" customHeight="1">
      <c r="A38" s="28" t="s">
        <v>26</v>
      </c>
      <c r="B38" s="29"/>
      <c r="C38" s="29"/>
      <c r="D38" s="17"/>
    </row>
    <row r="39" ht="15.75" customHeight="1">
      <c r="A39" s="30"/>
      <c r="D39" s="18"/>
    </row>
    <row r="40" ht="15.75" customHeight="1">
      <c r="A40" s="30" t="str">
        <f>"KFFOV in "&amp;Q9&amp;":"</f>
        <v>KFFOV in 2033:</v>
      </c>
      <c r="D40" s="21">
        <v>58.0</v>
      </c>
    </row>
    <row r="41" ht="15.75" customHeight="1">
      <c r="A41" s="30"/>
      <c r="D41" s="18"/>
    </row>
    <row r="42" ht="15.75" customHeight="1">
      <c r="A42" s="30" t="str">
        <f>"Aktienkurs in "&amp;Q9&amp;":"</f>
        <v>Aktienkurs in 2033:</v>
      </c>
      <c r="D42" s="21">
        <f>Q16*D40</f>
        <v>293.0286308</v>
      </c>
    </row>
    <row r="43" ht="15.75" customHeight="1">
      <c r="A43" s="30"/>
      <c r="D43" s="18"/>
    </row>
    <row r="44" ht="15.75" customHeight="1">
      <c r="A44" s="30" t="s">
        <v>27</v>
      </c>
      <c r="D44" s="20">
        <f>Optimistisch!D44</f>
        <v>0.7</v>
      </c>
    </row>
    <row r="45" ht="15.75" customHeight="1">
      <c r="A45" s="30"/>
      <c r="D45" s="18"/>
    </row>
    <row r="46" ht="15.75" customHeight="1">
      <c r="A46" s="30" t="s">
        <v>28</v>
      </c>
      <c r="D46" s="21">
        <f>D44*SUM(H16:Q16)</f>
        <v>46.80419146</v>
      </c>
    </row>
    <row r="47" ht="15.75" customHeight="1">
      <c r="A47" s="30"/>
      <c r="D47" s="18"/>
    </row>
    <row r="48" ht="15.75" customHeight="1">
      <c r="A48" s="30" t="s">
        <v>29</v>
      </c>
      <c r="D48" s="20">
        <f>Optimistisch!D48</f>
        <v>0.15</v>
      </c>
    </row>
    <row r="49" ht="15.75" customHeight="1">
      <c r="A49" s="30"/>
      <c r="D49" s="18"/>
    </row>
    <row r="50" ht="15.75" customHeight="1">
      <c r="A50" s="30" t="str">
        <f>"Gesamtwert "&amp;Q9</f>
        <v>Gesamtwert 2033</v>
      </c>
      <c r="D50" s="21">
        <f>D42+D46*(1-D48)</f>
        <v>332.8121935</v>
      </c>
    </row>
    <row r="51" ht="15.75" customHeight="1">
      <c r="A51" s="30"/>
      <c r="D51" s="18"/>
    </row>
    <row r="52" ht="15.75" customHeight="1">
      <c r="A52" s="30" t="str">
        <f>"Steigerung bis "&amp;Q9</f>
        <v>Steigerung bis 2033</v>
      </c>
      <c r="D52" s="20">
        <f>D50/C34-1</f>
        <v>1.67276095</v>
      </c>
    </row>
    <row r="53" ht="15.75" customHeight="1">
      <c r="A53" s="30"/>
      <c r="D53" s="18"/>
    </row>
    <row r="54" ht="15.75" customHeight="1">
      <c r="A54" s="31" t="str">
        <f>"Renditeerwartung bis "&amp;Q9&amp;" pro Jahr"</f>
        <v>Renditeerwartung bis 2033 pro Jahr</v>
      </c>
      <c r="B54" s="32"/>
      <c r="C54" s="32"/>
      <c r="D54" s="33">
        <f>(D50/C34)^(1/10)-1</f>
        <v>0.1033060808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7.44"/>
    <col customWidth="1" min="2" max="2" width="27.22"/>
    <col customWidth="1" min="3" max="14" width="10.33"/>
    <col customWidth="1" hidden="1" min="15" max="18" width="10.33"/>
    <col customWidth="1" min="19" max="26" width="8.33"/>
  </cols>
  <sheetData>
    <row r="1" ht="15.75" customHeight="1"/>
    <row r="2" ht="15.75" customHeight="1">
      <c r="B2" s="1" t="s">
        <v>30</v>
      </c>
    </row>
    <row r="3" ht="15.75" customHeight="1"/>
    <row r="4" ht="15.75" customHeight="1">
      <c r="B4" s="2" t="str">
        <f>Optimistisch!B4</f>
        <v>Annahmen für Mid-America Apartment Communities</v>
      </c>
    </row>
    <row r="5" ht="15.75" customHeight="1"/>
    <row r="6" ht="15.75" customHeight="1">
      <c r="B6" s="2" t="str">
        <f>Optimistisch!B6</f>
        <v>Alle Angaben in Mrd.</v>
      </c>
    </row>
    <row r="7" ht="15.75" customHeight="1"/>
    <row r="8" ht="15.75" customHeight="1">
      <c r="A8" s="3"/>
      <c r="B8" s="3"/>
      <c r="C8" s="3"/>
      <c r="D8" s="3"/>
      <c r="E8" s="3"/>
      <c r="F8" s="3"/>
      <c r="G8" s="3"/>
      <c r="H8" s="4" t="s">
        <v>3</v>
      </c>
      <c r="I8" s="3"/>
      <c r="J8" s="3"/>
      <c r="K8" s="3"/>
      <c r="L8" s="3"/>
      <c r="M8" s="3"/>
    </row>
    <row r="9" ht="15.75" customHeight="1">
      <c r="C9" s="2">
        <f>Optimistisch!C9</f>
        <v>2019</v>
      </c>
      <c r="D9" s="2">
        <f t="shared" ref="D9:M9" si="1">C9+1</f>
        <v>2020</v>
      </c>
      <c r="E9" s="2">
        <f t="shared" si="1"/>
        <v>2021</v>
      </c>
      <c r="F9" s="2">
        <f t="shared" si="1"/>
        <v>2022</v>
      </c>
      <c r="G9" s="2">
        <f t="shared" si="1"/>
        <v>2023</v>
      </c>
      <c r="H9" s="5">
        <f t="shared" si="1"/>
        <v>2024</v>
      </c>
      <c r="I9" s="5">
        <f t="shared" si="1"/>
        <v>2025</v>
      </c>
      <c r="J9" s="5">
        <f t="shared" si="1"/>
        <v>2026</v>
      </c>
      <c r="K9" s="5">
        <f t="shared" si="1"/>
        <v>2027</v>
      </c>
      <c r="L9" s="5">
        <f t="shared" si="1"/>
        <v>2028</v>
      </c>
      <c r="M9" s="5">
        <f t="shared" si="1"/>
        <v>2029</v>
      </c>
      <c r="R9" s="9"/>
    </row>
    <row r="10" ht="15.75" customHeight="1">
      <c r="B10" s="2" t="s">
        <v>4</v>
      </c>
      <c r="C10" s="7">
        <f>Optimistisch!C10</f>
        <v>1.641017</v>
      </c>
      <c r="D10" s="7">
        <f>Optimistisch!D10</f>
        <v>1.677984</v>
      </c>
      <c r="E10" s="7">
        <f>Optimistisch!E10</f>
        <v>1.778082</v>
      </c>
      <c r="F10" s="7">
        <f>Optimistisch!F10</f>
        <v>2.019866</v>
      </c>
      <c r="G10" s="7">
        <f>Optimistisch!G10</f>
        <v>2.148468</v>
      </c>
      <c r="H10" s="8">
        <f>Optimistisch!H10</f>
        <v>2.15665</v>
      </c>
      <c r="I10" s="8">
        <f>Optimistisch!I10</f>
        <v>2.21345</v>
      </c>
      <c r="J10" s="8">
        <f>Optimistisch!J10</f>
        <v>2.41468</v>
      </c>
      <c r="K10" s="8">
        <f>(Optimistisch!K10+Pessimistisch!K10)/2</f>
        <v>2.5535241</v>
      </c>
      <c r="L10" s="8">
        <f>(Optimistisch!L10+Pessimistisch!L10)/2</f>
        <v>2.662365801</v>
      </c>
      <c r="M10" s="8">
        <f>(Optimistisch!M10+Pessimistisch!M10)/2</f>
        <v>2.755548604</v>
      </c>
      <c r="N10" s="7"/>
      <c r="O10" s="7"/>
      <c r="P10" s="7"/>
      <c r="Q10" s="7"/>
      <c r="R10" s="7"/>
    </row>
    <row r="11" ht="15.75" customHeight="1">
      <c r="B11" s="2" t="s">
        <v>31</v>
      </c>
      <c r="C11" s="10">
        <f t="shared" ref="C11:G11" si="2">C12/C10</f>
        <v>0.4121310139</v>
      </c>
      <c r="D11" s="10">
        <f t="shared" si="2"/>
        <v>0.4570865992</v>
      </c>
      <c r="E11" s="10">
        <f t="shared" si="2"/>
        <v>0.4774464845</v>
      </c>
      <c r="F11" s="10">
        <f t="shared" si="2"/>
        <v>0.3896550563</v>
      </c>
      <c r="G11" s="10">
        <f t="shared" si="2"/>
        <v>0.4761532404</v>
      </c>
      <c r="H11" s="11">
        <v>0.4555</v>
      </c>
      <c r="I11" s="11">
        <v>0.436</v>
      </c>
      <c r="J11" s="11">
        <v>0.425</v>
      </c>
      <c r="K11" s="11">
        <v>0.4275</v>
      </c>
      <c r="L11" s="11">
        <v>0.435</v>
      </c>
      <c r="M11" s="11">
        <v>0.44</v>
      </c>
      <c r="N11" s="10"/>
      <c r="O11" s="10"/>
      <c r="P11" s="10"/>
      <c r="Q11" s="10"/>
      <c r="R11" s="10"/>
    </row>
    <row r="12" ht="15.75" customHeight="1">
      <c r="B12" s="2" t="s">
        <v>32</v>
      </c>
      <c r="C12" s="7">
        <f>0.78142-0.105106</f>
        <v>0.676314</v>
      </c>
      <c r="D12" s="7">
        <f>0.823949-0.056965</f>
        <v>0.766984</v>
      </c>
      <c r="E12" s="7">
        <f>0.894967-0.046028</f>
        <v>0.848939</v>
      </c>
      <c r="F12" s="7">
        <f>1.058479-0.271428</f>
        <v>0.787051</v>
      </c>
      <c r="G12" s="7">
        <v>1.023</v>
      </c>
      <c r="H12" s="8">
        <f t="shared" ref="H12:M12" si="3">H10*H11</f>
        <v>0.982354075</v>
      </c>
      <c r="I12" s="8">
        <f t="shared" si="3"/>
        <v>0.9650642</v>
      </c>
      <c r="J12" s="8">
        <f t="shared" si="3"/>
        <v>1.026239</v>
      </c>
      <c r="K12" s="8">
        <f t="shared" si="3"/>
        <v>1.091631553</v>
      </c>
      <c r="L12" s="8">
        <f t="shared" si="3"/>
        <v>1.158129123</v>
      </c>
      <c r="M12" s="8">
        <f t="shared" si="3"/>
        <v>1.212441386</v>
      </c>
      <c r="N12" s="7"/>
      <c r="O12" s="7"/>
      <c r="P12" s="7"/>
      <c r="Q12" s="7"/>
      <c r="R12" s="7"/>
    </row>
    <row r="13" ht="15.75" customHeight="1">
      <c r="F13" s="12" t="s">
        <v>33</v>
      </c>
      <c r="G13" s="13"/>
      <c r="H13" s="14">
        <f>H12/(1+$B$37)</f>
        <v>0.9292437541</v>
      </c>
      <c r="I13" s="14">
        <f>I12/(1+$B$37)^2</f>
        <v>0.8635339261</v>
      </c>
      <c r="J13" s="14">
        <f>J12/(1+$B$37)^3</f>
        <v>0.8686269786</v>
      </c>
      <c r="K13" s="14">
        <f>K12/(1+$B$37)^4</f>
        <v>0.8740222299</v>
      </c>
      <c r="L13" s="14">
        <f>L12/(1+$B$37)^5</f>
        <v>0.8771320518</v>
      </c>
      <c r="M13" s="15">
        <f>(M12/(B37-B39))/(1+B37)^5</f>
        <v>24.71491411</v>
      </c>
      <c r="N13" s="7"/>
      <c r="O13" s="7"/>
      <c r="P13" s="7"/>
      <c r="Q13" s="7"/>
      <c r="R13" s="7"/>
    </row>
    <row r="14" ht="15.75" customHeight="1"/>
    <row r="15" ht="15.75" customHeight="1">
      <c r="A15" s="16" t="s">
        <v>13</v>
      </c>
      <c r="B15" s="17"/>
    </row>
    <row r="16" ht="15.75" customHeight="1">
      <c r="B16" s="18"/>
    </row>
    <row r="17" ht="15.75" customHeight="1">
      <c r="A17" s="2" t="s">
        <v>14</v>
      </c>
      <c r="B17" s="20">
        <f>Optimistisch!B21</f>
        <v>0.04175</v>
      </c>
    </row>
    <row r="18" ht="15.75" customHeight="1">
      <c r="B18" s="18"/>
    </row>
    <row r="19" ht="15.75" customHeight="1">
      <c r="A19" s="2" t="s">
        <v>15</v>
      </c>
      <c r="B19" s="20">
        <f>(B21-B17)*B23</f>
        <v>0.024295</v>
      </c>
    </row>
    <row r="20" ht="15.75" customHeight="1">
      <c r="B20" s="18"/>
    </row>
    <row r="21" ht="15.75" customHeight="1">
      <c r="A21" s="2" t="s">
        <v>16</v>
      </c>
      <c r="B21" s="20">
        <f>Optimistisch!B25</f>
        <v>0.07</v>
      </c>
    </row>
    <row r="22" ht="15.75" customHeight="1">
      <c r="B22" s="18"/>
    </row>
    <row r="23" ht="15.75" customHeight="1">
      <c r="A23" s="2" t="s">
        <v>17</v>
      </c>
      <c r="B23" s="21">
        <f>Optimistisch!B27</f>
        <v>0.86</v>
      </c>
    </row>
    <row r="24" ht="15.75" customHeight="1">
      <c r="B24" s="18"/>
    </row>
    <row r="25" ht="15.75" customHeight="1">
      <c r="A25" s="22" t="s">
        <v>18</v>
      </c>
      <c r="B25" s="23">
        <f>B17+(B21-B17)*B23</f>
        <v>0.066045</v>
      </c>
    </row>
    <row r="26" ht="15.75" customHeight="1"/>
    <row r="27" ht="15.75" customHeight="1">
      <c r="A27" s="28" t="s">
        <v>34</v>
      </c>
      <c r="B27" s="17"/>
    </row>
    <row r="28" ht="15.75" customHeight="1">
      <c r="A28" s="30"/>
      <c r="B28" s="18"/>
    </row>
    <row r="29" ht="15.75" customHeight="1">
      <c r="A29" s="30" t="s">
        <v>35</v>
      </c>
      <c r="B29" s="21">
        <f>C42</f>
        <v>14.5302388</v>
      </c>
    </row>
    <row r="30" ht="15.75" customHeight="1">
      <c r="A30" s="30"/>
      <c r="B30" s="18"/>
    </row>
    <row r="31" ht="15.75" customHeight="1">
      <c r="A31" s="30" t="s">
        <v>36</v>
      </c>
      <c r="B31" s="21">
        <f>4.180084+0.360141-0.041314</f>
        <v>4.498911</v>
      </c>
    </row>
    <row r="32" ht="15.75" customHeight="1">
      <c r="A32" s="30"/>
      <c r="B32" s="18"/>
    </row>
    <row r="33" ht="15.75" customHeight="1">
      <c r="A33" s="30" t="s">
        <v>37</v>
      </c>
      <c r="B33" s="20">
        <v>0.036</v>
      </c>
    </row>
    <row r="34" ht="15.75" customHeight="1">
      <c r="A34" s="30"/>
      <c r="B34" s="18"/>
    </row>
    <row r="35" ht="15.75" customHeight="1">
      <c r="A35" s="30" t="s">
        <v>38</v>
      </c>
      <c r="B35" s="20">
        <v>0.21</v>
      </c>
    </row>
    <row r="36" ht="15.75" customHeight="1">
      <c r="A36" s="30"/>
      <c r="B36" s="18"/>
    </row>
    <row r="37" ht="15.75" customHeight="1">
      <c r="A37" s="34" t="s">
        <v>39</v>
      </c>
      <c r="B37" s="23">
        <f>B25*(B29/(B29+B31))+B33*(B31/(B29+B31))*(1-B35)</f>
        <v>0.05715434803</v>
      </c>
    </row>
    <row r="38" ht="15.75" customHeight="1">
      <c r="B38" s="10"/>
    </row>
    <row r="39" ht="15.75" customHeight="1">
      <c r="A39" s="2" t="s">
        <v>40</v>
      </c>
      <c r="B39" s="10">
        <v>0.02</v>
      </c>
    </row>
    <row r="40" ht="15.75" customHeight="1"/>
    <row r="41" ht="15.75" customHeight="1">
      <c r="A41" s="3"/>
      <c r="B41" s="3"/>
      <c r="C41" s="24">
        <f>Optimistisch!C31</f>
        <v>45331</v>
      </c>
      <c r="D41" s="25" t="s">
        <v>19</v>
      </c>
    </row>
    <row r="42" ht="15.75" customHeight="1">
      <c r="A42" s="5" t="s">
        <v>20</v>
      </c>
      <c r="B42" s="5" t="s">
        <v>21</v>
      </c>
      <c r="C42" s="8">
        <f>C43*C44</f>
        <v>14.5302388</v>
      </c>
      <c r="D42" s="8">
        <f>SUM(H13:M13)-B31</f>
        <v>24.62856205</v>
      </c>
    </row>
    <row r="43" ht="15.75" customHeight="1">
      <c r="A43" s="5"/>
      <c r="B43" s="5" t="s">
        <v>22</v>
      </c>
      <c r="C43" s="8">
        <f>Optimistisch!C33</f>
        <v>0.11669</v>
      </c>
      <c r="D43" s="8">
        <f>C43</f>
        <v>0.11669</v>
      </c>
    </row>
    <row r="44" ht="15.75" customHeight="1">
      <c r="A44" s="5"/>
      <c r="B44" s="5" t="s">
        <v>23</v>
      </c>
      <c r="C44" s="8">
        <f>Optimistisch!C34</f>
        <v>124.52</v>
      </c>
      <c r="D44" s="8">
        <f>D42/D43</f>
        <v>211.0597485</v>
      </c>
    </row>
    <row r="45" ht="15.75" customHeight="1">
      <c r="A45" s="5"/>
      <c r="B45" s="5" t="s">
        <v>24</v>
      </c>
      <c r="C45" s="5"/>
      <c r="D45" s="11">
        <f>IF(C44/D44-1&gt;0,0,C44/D44-1)*-1</f>
        <v>0.4100248821</v>
      </c>
    </row>
    <row r="46" ht="15.75" customHeight="1">
      <c r="A46" s="5"/>
      <c r="B46" s="5" t="s">
        <v>25</v>
      </c>
      <c r="C46" s="5"/>
      <c r="D46" s="11">
        <f>IF(C44/D44-1&lt;0,0,C44/D44-1)</f>
        <v>0</v>
      </c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2023-11-01T21:06:40Z</dcterms:created>
  <dc:creator>Tilman Reichel</dc:creator>
</cp:coreProperties>
</file>