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jp88Zb4XvhLNWJ8RQmjWK9+NArZTzpSqC2H+6M1V3Qo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<sst xmlns="http://schemas.openxmlformats.org/spreadsheetml/2006/main" count="118" uniqueCount="41">
  <si>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</si>
  <si>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Nasdaq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</si>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</sst>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4.258</v>
      </c>
      <c r="D10" s="7">
        <v>5.625</v>
      </c>
      <c r="E10" s="7">
        <v>5.886</v>
      </c>
      <c r="F10" s="7">
        <v>6.226</v>
      </c>
      <c r="G10" s="7">
        <v>6.064</v>
      </c>
      <c r="H10" s="8">
        <v>7.77143</v>
      </c>
      <c r="I10" s="8">
        <v>8.29083</v>
      </c>
      <c r="J10" s="8">
        <v>9.25447</v>
      </c>
      <c r="K10" s="8">
        <f t="shared" ref="K10:R10" si="2">J10*(1+K11)</f>
        <v>9.8097382</v>
      </c>
      <c r="L10" s="8">
        <f t="shared" si="2"/>
        <v>10.39832249</v>
      </c>
      <c r="M10" s="8">
        <f t="shared" si="2"/>
        <v>10.97023023</v>
      </c>
      <c r="N10" s="8">
        <f t="shared" si="2"/>
        <v>11.57359289</v>
      </c>
      <c r="O10" s="8">
        <f t="shared" si="2"/>
        <v>12.15227254</v>
      </c>
      <c r="P10" s="8">
        <f t="shared" si="2"/>
        <v>12.6991248</v>
      </c>
      <c r="Q10" s="8">
        <f t="shared" si="2"/>
        <v>13.27058542</v>
      </c>
      <c r="R10" s="8">
        <f t="shared" si="2"/>
        <v>13.53599712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0.3210427431</v>
      </c>
      <c r="E11" s="10">
        <f t="shared" si="3"/>
        <v>0.0464</v>
      </c>
      <c r="F11" s="10">
        <f t="shared" si="3"/>
        <v>0.0577641862</v>
      </c>
      <c r="G11" s="10">
        <f t="shared" si="3"/>
        <v>-0.02601991648</v>
      </c>
      <c r="H11" s="11">
        <f t="shared" si="3"/>
        <v>0.2815682718</v>
      </c>
      <c r="I11" s="11">
        <f t="shared" si="3"/>
        <v>0.06683454654</v>
      </c>
      <c r="J11" s="11">
        <f t="shared" si="3"/>
        <v>0.1162296175</v>
      </c>
      <c r="K11" s="11">
        <v>0.06</v>
      </c>
      <c r="L11" s="11">
        <v>0.06</v>
      </c>
      <c r="M11" s="11">
        <v>0.055</v>
      </c>
      <c r="N11" s="11">
        <v>0.055</v>
      </c>
      <c r="O11" s="11">
        <v>0.05</v>
      </c>
      <c r="P11" s="11">
        <v>0.045</v>
      </c>
      <c r="Q11" s="11">
        <v>0.045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0.2388445279</v>
      </c>
      <c r="D12" s="10">
        <f t="shared" si="4"/>
        <v>0.2193777778</v>
      </c>
      <c r="E12" s="10">
        <f t="shared" si="4"/>
        <v>0.2448182127</v>
      </c>
      <c r="F12" s="10">
        <f t="shared" si="4"/>
        <v>0.2512046258</v>
      </c>
      <c r="G12" s="10">
        <f t="shared" si="4"/>
        <v>0.2602242744</v>
      </c>
      <c r="H12" s="11">
        <f t="shared" si="4"/>
        <v>0.289</v>
      </c>
      <c r="I12" s="11">
        <f t="shared" si="4"/>
        <v>0.2998</v>
      </c>
      <c r="J12" s="11">
        <f t="shared" si="4"/>
        <v>0.2966</v>
      </c>
      <c r="K12" s="11">
        <v>0.3</v>
      </c>
      <c r="L12" s="11">
        <v>0.285</v>
      </c>
      <c r="M12" s="11">
        <v>0.28</v>
      </c>
      <c r="N12" s="11">
        <v>0.295</v>
      </c>
      <c r="O12" s="11">
        <v>0.305</v>
      </c>
      <c r="P12" s="11">
        <v>0.31</v>
      </c>
      <c r="Q12" s="11">
        <v>0.315</v>
      </c>
      <c r="R12" s="11">
        <v>0.32</v>
      </c>
    </row>
    <row r="13" ht="15.75" customHeight="1">
      <c r="B13" s="2" t="s">
        <v>8</v>
      </c>
      <c r="C13" s="7">
        <v>1.017</v>
      </c>
      <c r="D13" s="7">
        <v>1.234</v>
      </c>
      <c r="E13" s="7">
        <v>1.441</v>
      </c>
      <c r="F13" s="7">
        <v>1.564</v>
      </c>
      <c r="G13" s="7">
        <v>1.578</v>
      </c>
      <c r="H13" s="8">
        <v>2.2459432699999997</v>
      </c>
      <c r="I13" s="8">
        <v>2.485590834</v>
      </c>
      <c r="J13" s="8">
        <v>2.7448758019999997</v>
      </c>
      <c r="K13" s="8">
        <f t="shared" ref="K13:R13" si="5">K10*K12</f>
        <v>2.94292146</v>
      </c>
      <c r="L13" s="8">
        <f t="shared" si="5"/>
        <v>2.96352191</v>
      </c>
      <c r="M13" s="8">
        <f t="shared" si="5"/>
        <v>3.071664464</v>
      </c>
      <c r="N13" s="8">
        <f t="shared" si="5"/>
        <v>3.414209903</v>
      </c>
      <c r="O13" s="8">
        <f t="shared" si="5"/>
        <v>3.706443124</v>
      </c>
      <c r="P13" s="8">
        <f t="shared" si="5"/>
        <v>3.936728688</v>
      </c>
      <c r="Q13" s="8">
        <f t="shared" si="5"/>
        <v>4.180234406</v>
      </c>
      <c r="R13" s="8">
        <f t="shared" si="5"/>
        <v>4.33151908</v>
      </c>
    </row>
    <row r="14" ht="15.75" customHeight="1">
      <c r="A14" s="11">
        <v>0.25</v>
      </c>
      <c r="B14" s="2" t="s">
        <v>9</v>
      </c>
      <c r="C14" s="7">
        <v>0.774</v>
      </c>
      <c r="D14" s="7">
        <v>0.933</v>
      </c>
      <c r="E14" s="7">
        <v>1.187</v>
      </c>
      <c r="F14" s="7">
        <v>1.125</v>
      </c>
      <c r="G14" s="7">
        <v>1.059</v>
      </c>
      <c r="H14" s="8">
        <v>1.6529831609999999</v>
      </c>
      <c r="I14" s="8">
        <v>1.673089494</v>
      </c>
      <c r="J14" s="8">
        <v>1.939736912</v>
      </c>
      <c r="K14" s="8">
        <f t="shared" ref="K14:R14" si="6">K13*(1-$A$14)</f>
        <v>2.207191095</v>
      </c>
      <c r="L14" s="8">
        <f t="shared" si="6"/>
        <v>2.222641433</v>
      </c>
      <c r="M14" s="8">
        <f t="shared" si="6"/>
        <v>2.303748348</v>
      </c>
      <c r="N14" s="8">
        <f t="shared" si="6"/>
        <v>2.560657427</v>
      </c>
      <c r="O14" s="8">
        <f t="shared" si="6"/>
        <v>2.779832343</v>
      </c>
      <c r="P14" s="8">
        <f t="shared" si="6"/>
        <v>2.952546516</v>
      </c>
      <c r="Q14" s="8">
        <f t="shared" si="6"/>
        <v>3.135175805</v>
      </c>
      <c r="R14" s="8">
        <f t="shared" si="6"/>
        <v>3.24863931</v>
      </c>
    </row>
    <row r="15" ht="15.75" customHeight="1">
      <c r="A15" s="11">
        <v>0.99</v>
      </c>
      <c r="B15" s="2" t="s">
        <v>10</v>
      </c>
      <c r="H15" s="8">
        <f>C33</f>
        <v>0.57696</v>
      </c>
      <c r="I15" s="8">
        <f t="shared" ref="I15:Q15" si="7">H15*$A$15</f>
        <v>0.5711904</v>
      </c>
      <c r="J15" s="8">
        <f t="shared" si="7"/>
        <v>0.565478496</v>
      </c>
      <c r="K15" s="8">
        <f t="shared" si="7"/>
        <v>0.559823711</v>
      </c>
      <c r="L15" s="8">
        <f t="shared" si="7"/>
        <v>0.5542254739</v>
      </c>
      <c r="M15" s="8">
        <f t="shared" si="7"/>
        <v>0.5486832192</v>
      </c>
      <c r="N15" s="8">
        <f t="shared" si="7"/>
        <v>0.543196387</v>
      </c>
      <c r="O15" s="8">
        <f t="shared" si="7"/>
        <v>0.5377644231</v>
      </c>
      <c r="P15" s="8">
        <f t="shared" si="7"/>
        <v>0.5323867789</v>
      </c>
      <c r="Q15" s="8">
        <f t="shared" si="7"/>
        <v>0.5270629111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2.864987453</v>
      </c>
      <c r="I16" s="8">
        <f t="shared" si="8"/>
        <v>2.929127475</v>
      </c>
      <c r="J16" s="8">
        <f t="shared" si="8"/>
        <v>3.430257606</v>
      </c>
      <c r="K16" s="8">
        <f t="shared" si="8"/>
        <v>3.942653824</v>
      </c>
      <c r="L16" s="8">
        <f t="shared" si="8"/>
        <v>4.01035596</v>
      </c>
      <c r="M16" s="8">
        <f t="shared" si="8"/>
        <v>4.19868563</v>
      </c>
      <c r="N16" s="8">
        <f t="shared" si="8"/>
        <v>4.714054601</v>
      </c>
      <c r="O16" s="8">
        <f t="shared" si="8"/>
        <v>5.169238096</v>
      </c>
      <c r="P16" s="8">
        <f t="shared" si="8"/>
        <v>5.545867465</v>
      </c>
      <c r="Q16" s="8">
        <f t="shared" si="8"/>
        <v>5.948390104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1.546134158</v>
      </c>
      <c r="I17" s="14">
        <f>I14/(1+$B$29)^2</f>
        <v>1.46378288</v>
      </c>
      <c r="J17" s="14">
        <f>J14/(1+$B$29)^3</f>
        <v>1.587373286</v>
      </c>
      <c r="K17" s="14">
        <f>K14/(1+$B$29)^4</f>
        <v>1.689487247</v>
      </c>
      <c r="L17" s="14">
        <f>L14/(1+$B$29)^5</f>
        <v>1.591340567</v>
      </c>
      <c r="M17" s="14">
        <f>M14/(1+$B$29)^6</f>
        <v>1.542792471</v>
      </c>
      <c r="N17" s="14">
        <f>N14/(1+$B$29)^7</f>
        <v>1.603993857</v>
      </c>
      <c r="O17" s="14">
        <f>O14/(1+$B$29)^8</f>
        <v>1.628728023</v>
      </c>
      <c r="P17" s="14">
        <f>P14/(1+$B$29)^9</f>
        <v>1.618100378</v>
      </c>
      <c r="Q17" s="14">
        <f>Q14/(1+$B$29)^10</f>
        <v>1.607123884</v>
      </c>
      <c r="R17" s="15">
        <f>(R14/(B29-R11))/(1+B29)^10</f>
        <v>33.91124851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0.04024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0.0288672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0.97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0.0691072</v>
      </c>
    </row>
    <row r="30" ht="15.75" customHeight="1"/>
    <row r="31" ht="15.75" customHeight="1">
      <c r="A31" s="3"/>
      <c r="B31" s="3"/>
      <c r="C31" s="24">
        <v>45324.0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32.684784</v>
      </c>
      <c r="D32" s="8">
        <f>SUM(H17:R17)</f>
        <v>49.79010526</v>
      </c>
    </row>
    <row r="33" ht="15.75" customHeight="1">
      <c r="A33" s="5"/>
      <c r="B33" s="5" t="s">
        <v>22</v>
      </c>
      <c r="C33" s="8">
        <f>0.57696</f>
        <v>0.57696</v>
      </c>
      <c r="D33" s="8">
        <f>C33</f>
        <v>0.57696</v>
      </c>
    </row>
    <row r="34" ht="15.75" customHeight="1">
      <c r="A34" s="5"/>
      <c r="B34" s="5" t="s">
        <v>23</v>
      </c>
      <c r="C34" s="26">
        <v>56.65</v>
      </c>
      <c r="D34" s="8">
        <f>D32/D33</f>
        <v>86.29732608</v>
      </c>
    </row>
    <row r="35" ht="15.75" customHeight="1">
      <c r="A35" s="5"/>
      <c r="B35" s="5" t="s">
        <v>24</v>
      </c>
      <c r="C35" s="5"/>
      <c r="D35" s="11">
        <f>IF(C34/D34-1&gt;0,0,C34/D34-1)*-1</f>
        <v>0.3435486061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23.0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136.8129724</v>
      </c>
    </row>
    <row r="43" ht="15.75" customHeight="1">
      <c r="A43" s="30"/>
      <c r="D43" s="18"/>
    </row>
    <row r="44" ht="15.75" customHeight="1">
      <c r="A44" s="30" t="s">
        <v>27</v>
      </c>
      <c r="D44" s="20">
        <v>0.45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19.2391282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153.1662314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1.703728709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0.104577802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Nasdaq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4.258</v>
      </c>
      <c r="D10" s="7">
        <f>Optimistisch!D10</f>
        <v>5.625</v>
      </c>
      <c r="E10" s="7">
        <f>Optimistisch!E10</f>
        <v>5.886</v>
      </c>
      <c r="F10" s="7">
        <f>Optimistisch!F10</f>
        <v>6.226</v>
      </c>
      <c r="G10" s="7">
        <f>Optimistisch!G10</f>
        <v>6.064</v>
      </c>
      <c r="H10" s="8">
        <f>Optimistisch!H10</f>
        <v>7.77143</v>
      </c>
      <c r="I10" s="8">
        <f>Optimistisch!I10</f>
        <v>8.29083</v>
      </c>
      <c r="J10" s="8">
        <f>Optimistisch!J10</f>
        <v>9.25447</v>
      </c>
      <c r="K10" s="8">
        <f t="shared" ref="K10:R10" si="2">J10*(1+K11)</f>
        <v>9.76346585</v>
      </c>
      <c r="L10" s="8">
        <f t="shared" si="2"/>
        <v>10.30045647</v>
      </c>
      <c r="M10" s="8">
        <f t="shared" si="2"/>
        <v>10.76397701</v>
      </c>
      <c r="N10" s="8">
        <f t="shared" si="2"/>
        <v>11.19453609</v>
      </c>
      <c r="O10" s="8">
        <f t="shared" si="2"/>
        <v>10.97064537</v>
      </c>
      <c r="P10" s="8">
        <f t="shared" si="2"/>
        <v>11.40947119</v>
      </c>
      <c r="Q10" s="8">
        <f t="shared" si="2"/>
        <v>11.80880268</v>
      </c>
      <c r="R10" s="8">
        <f t="shared" si="2"/>
        <v>11.98593472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0.3210427431</v>
      </c>
      <c r="E11" s="10">
        <f t="shared" si="3"/>
        <v>0.0464</v>
      </c>
      <c r="F11" s="10">
        <f t="shared" si="3"/>
        <v>0.0577641862</v>
      </c>
      <c r="G11" s="10">
        <f t="shared" si="3"/>
        <v>-0.02601991648</v>
      </c>
      <c r="H11" s="11">
        <f t="shared" si="3"/>
        <v>0.2815682718</v>
      </c>
      <c r="I11" s="11">
        <f t="shared" si="3"/>
        <v>0.06683454654</v>
      </c>
      <c r="J11" s="11">
        <f t="shared" si="3"/>
        <v>0.1162296175</v>
      </c>
      <c r="K11" s="11">
        <v>0.055</v>
      </c>
      <c r="L11" s="11">
        <v>0.055</v>
      </c>
      <c r="M11" s="11">
        <v>0.045</v>
      </c>
      <c r="N11" s="11">
        <v>0.04</v>
      </c>
      <c r="O11" s="11">
        <v>-0.02</v>
      </c>
      <c r="P11" s="11">
        <v>0.04</v>
      </c>
      <c r="Q11" s="11">
        <v>0.035</v>
      </c>
      <c r="R11" s="11">
        <v>0.015</v>
      </c>
    </row>
    <row r="12" ht="15.75" customHeight="1">
      <c r="B12" s="2" t="s">
        <v>7</v>
      </c>
      <c r="C12" s="10">
        <f t="shared" ref="C12:J12" si="4">C13/C10</f>
        <v>0.2388445279</v>
      </c>
      <c r="D12" s="10">
        <f t="shared" si="4"/>
        <v>0.2193777778</v>
      </c>
      <c r="E12" s="10">
        <f t="shared" si="4"/>
        <v>0.2448182127</v>
      </c>
      <c r="F12" s="10">
        <f t="shared" si="4"/>
        <v>0.2512046258</v>
      </c>
      <c r="G12" s="10">
        <f t="shared" si="4"/>
        <v>0.2602242744</v>
      </c>
      <c r="H12" s="11">
        <f t="shared" si="4"/>
        <v>0.289</v>
      </c>
      <c r="I12" s="11">
        <f t="shared" si="4"/>
        <v>0.2998</v>
      </c>
      <c r="J12" s="11">
        <f t="shared" si="4"/>
        <v>0.2966</v>
      </c>
      <c r="K12" s="11">
        <v>0.295</v>
      </c>
      <c r="L12" s="11">
        <v>0.29</v>
      </c>
      <c r="M12" s="11">
        <v>0.255</v>
      </c>
      <c r="N12" s="11">
        <v>0.225</v>
      </c>
      <c r="O12" s="11">
        <v>0.23</v>
      </c>
      <c r="P12" s="11">
        <v>0.235</v>
      </c>
      <c r="Q12" s="11">
        <v>0.24</v>
      </c>
      <c r="R12" s="11">
        <v>0.245</v>
      </c>
    </row>
    <row r="13" ht="15.75" customHeight="1">
      <c r="B13" s="2" t="s">
        <v>8</v>
      </c>
      <c r="C13" s="7">
        <f>Optimistisch!C13</f>
        <v>1.017</v>
      </c>
      <c r="D13" s="7">
        <f>Optimistisch!D13</f>
        <v>1.234</v>
      </c>
      <c r="E13" s="7">
        <f>Optimistisch!E13</f>
        <v>1.441</v>
      </c>
      <c r="F13" s="7">
        <f>Optimistisch!F13</f>
        <v>1.564</v>
      </c>
      <c r="G13" s="7">
        <f>Optimistisch!G13</f>
        <v>1.578</v>
      </c>
      <c r="H13" s="8">
        <f>Optimistisch!H13</f>
        <v>2.24594327</v>
      </c>
      <c r="I13" s="8">
        <f>Optimistisch!I13</f>
        <v>2.485590834</v>
      </c>
      <c r="J13" s="8">
        <f>Optimistisch!J13</f>
        <v>2.744875802</v>
      </c>
      <c r="K13" s="8">
        <f t="shared" ref="K13:R13" si="5">K10*K12</f>
        <v>2.880222426</v>
      </c>
      <c r="L13" s="8">
        <f t="shared" si="5"/>
        <v>2.987132377</v>
      </c>
      <c r="M13" s="8">
        <f t="shared" si="5"/>
        <v>2.744814138</v>
      </c>
      <c r="N13" s="8">
        <f t="shared" si="5"/>
        <v>2.518770621</v>
      </c>
      <c r="O13" s="8">
        <f t="shared" si="5"/>
        <v>2.523248435</v>
      </c>
      <c r="P13" s="8">
        <f t="shared" si="5"/>
        <v>2.681225729</v>
      </c>
      <c r="Q13" s="8">
        <f t="shared" si="5"/>
        <v>2.834112643</v>
      </c>
      <c r="R13" s="8">
        <f t="shared" si="5"/>
        <v>2.936554006</v>
      </c>
    </row>
    <row r="14" ht="15.75" customHeight="1">
      <c r="A14" s="11">
        <v>0.3</v>
      </c>
      <c r="B14" s="2" t="s">
        <v>9</v>
      </c>
      <c r="C14" s="7">
        <f>Optimistisch!C14</f>
        <v>0.774</v>
      </c>
      <c r="D14" s="7">
        <f>Optimistisch!D14</f>
        <v>0.933</v>
      </c>
      <c r="E14" s="7">
        <f>Optimistisch!E14</f>
        <v>1.187</v>
      </c>
      <c r="F14" s="7">
        <f>Optimistisch!F14</f>
        <v>1.125</v>
      </c>
      <c r="G14" s="7">
        <f>Optimistisch!G14</f>
        <v>1.059</v>
      </c>
      <c r="H14" s="8">
        <f>Optimistisch!H14</f>
        <v>1.652983161</v>
      </c>
      <c r="I14" s="8">
        <f>Optimistisch!I14</f>
        <v>1.673089494</v>
      </c>
      <c r="J14" s="8">
        <f>Optimistisch!J14</f>
        <v>1.939736912</v>
      </c>
      <c r="K14" s="8">
        <f t="shared" ref="K14:R14" si="6">K13*(1-$A$14)</f>
        <v>2.016155698</v>
      </c>
      <c r="L14" s="8">
        <f t="shared" si="6"/>
        <v>2.090992664</v>
      </c>
      <c r="M14" s="8">
        <f t="shared" si="6"/>
        <v>1.921369897</v>
      </c>
      <c r="N14" s="8">
        <f t="shared" si="6"/>
        <v>1.763139435</v>
      </c>
      <c r="O14" s="8">
        <f t="shared" si="6"/>
        <v>1.766273905</v>
      </c>
      <c r="P14" s="8">
        <f t="shared" si="6"/>
        <v>1.87685801</v>
      </c>
      <c r="Q14" s="8">
        <f t="shared" si="6"/>
        <v>1.98387885</v>
      </c>
      <c r="R14" s="8">
        <f t="shared" si="6"/>
        <v>2.055587804</v>
      </c>
    </row>
    <row r="15" ht="15.75" customHeight="1">
      <c r="A15" s="11">
        <v>0.995</v>
      </c>
      <c r="B15" s="2" t="s">
        <v>10</v>
      </c>
      <c r="H15" s="8">
        <f>C33</f>
        <v>0.57696</v>
      </c>
      <c r="I15" s="8">
        <f t="shared" ref="I15:Q15" si="7">H15*$A$15</f>
        <v>0.5740752</v>
      </c>
      <c r="J15" s="8">
        <f t="shared" si="7"/>
        <v>0.571204824</v>
      </c>
      <c r="K15" s="8">
        <f t="shared" si="7"/>
        <v>0.5683487999</v>
      </c>
      <c r="L15" s="8">
        <f t="shared" si="7"/>
        <v>0.5655070559</v>
      </c>
      <c r="M15" s="8">
        <f t="shared" si="7"/>
        <v>0.5626795206</v>
      </c>
      <c r="N15" s="8">
        <f t="shared" si="7"/>
        <v>0.559866123</v>
      </c>
      <c r="O15" s="8">
        <f t="shared" si="7"/>
        <v>0.5570667924</v>
      </c>
      <c r="P15" s="8">
        <f t="shared" si="7"/>
        <v>0.5542814584</v>
      </c>
      <c r="Q15" s="8">
        <f t="shared" si="7"/>
        <v>0.5515100511</v>
      </c>
      <c r="R15" s="6" t="s">
        <v>6</v>
      </c>
    </row>
    <row r="16" ht="15.75" customHeight="1">
      <c r="B16" s="2" t="s">
        <v>11</v>
      </c>
      <c r="H16" s="8">
        <f t="shared" ref="H16:Q16" si="8">H14/H15</f>
        <v>2.864987453</v>
      </c>
      <c r="I16" s="8">
        <f t="shared" si="8"/>
        <v>2.914408241</v>
      </c>
      <c r="J16" s="8">
        <f t="shared" si="8"/>
        <v>3.395869276</v>
      </c>
      <c r="K16" s="8">
        <f t="shared" si="8"/>
        <v>3.547391493</v>
      </c>
      <c r="L16" s="8">
        <f t="shared" si="8"/>
        <v>3.697553624</v>
      </c>
      <c r="M16" s="8">
        <f t="shared" si="8"/>
        <v>3.414678918</v>
      </c>
      <c r="N16" s="8">
        <f t="shared" si="8"/>
        <v>3.149216147</v>
      </c>
      <c r="O16" s="8">
        <f t="shared" si="8"/>
        <v>3.170668094</v>
      </c>
      <c r="P16" s="8">
        <f t="shared" si="8"/>
        <v>3.386110038</v>
      </c>
      <c r="Q16" s="8">
        <f t="shared" si="8"/>
        <v>3.597176236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1.546134158</v>
      </c>
      <c r="I17" s="14">
        <f>I14/(1+$B$29)^2</f>
        <v>1.46378288</v>
      </c>
      <c r="J17" s="14">
        <f>J14/(1+$B$29)^3</f>
        <v>1.587373286</v>
      </c>
      <c r="K17" s="14">
        <f>K14/(1+$B$29)^4</f>
        <v>1.543259824</v>
      </c>
      <c r="L17" s="14">
        <f>L14/(1+$B$29)^5</f>
        <v>1.497084236</v>
      </c>
      <c r="M17" s="14">
        <f>M14/(1+$B$29)^6</f>
        <v>1.286718236</v>
      </c>
      <c r="N17" s="14">
        <f>N14/(1+$B$29)^7</f>
        <v>1.104429195</v>
      </c>
      <c r="O17" s="14">
        <f>O14/(1+$B$29)^8</f>
        <v>1.034875291</v>
      </c>
      <c r="P17" s="14">
        <f>P14/(1+$B$29)^9</f>
        <v>1.028584864</v>
      </c>
      <c r="Q17" s="14">
        <f>Q14/(1+$B$29)^10</f>
        <v>1.016957033</v>
      </c>
      <c r="R17" s="15">
        <f>(R14/(B29-R11))/(1+B29)^10</f>
        <v>19.47459473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0.04024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0.0288672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0.97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0.0691072</v>
      </c>
    </row>
    <row r="30" ht="15.75" customHeight="1"/>
    <row r="31" ht="15.75" customHeight="1">
      <c r="A31" s="3"/>
      <c r="B31" s="3"/>
      <c r="C31" s="24">
        <f>Optimistisch!C31</f>
        <v>45324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32.684784</v>
      </c>
      <c r="D32" s="8">
        <f>SUM(H17:R17)</f>
        <v>32.58379373</v>
      </c>
    </row>
    <row r="33" ht="15.75" customHeight="1">
      <c r="A33" s="5"/>
      <c r="B33" s="5" t="s">
        <v>22</v>
      </c>
      <c r="C33" s="8">
        <f>Optimistisch!C33</f>
        <v>0.57696</v>
      </c>
      <c r="D33" s="8">
        <f>C33</f>
        <v>0.57696</v>
      </c>
    </row>
    <row r="34" ht="15.75" customHeight="1">
      <c r="A34" s="5"/>
      <c r="B34" s="5" t="s">
        <v>23</v>
      </c>
      <c r="C34" s="8">
        <f>Optimistisch!C34</f>
        <v>56.65</v>
      </c>
      <c r="D34" s="8">
        <f>D32/D33</f>
        <v>56.4749614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0.0030994018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18.0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64.74917225</v>
      </c>
    </row>
    <row r="43" ht="15.75" customHeight="1">
      <c r="A43" s="30"/>
      <c r="D43" s="18"/>
    </row>
    <row r="44" ht="15.75" customHeight="1">
      <c r="A44" s="30" t="s">
        <v>27</v>
      </c>
      <c r="D44" s="20">
        <v>0.35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11.59832083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74.60774496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0.3169946153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0.02791783153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Nasdaq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4.258</v>
      </c>
      <c r="D10" s="7">
        <f>Optimistisch!D10</f>
        <v>5.625</v>
      </c>
      <c r="E10" s="7">
        <f>Optimistisch!E10</f>
        <v>5.886</v>
      </c>
      <c r="F10" s="7">
        <f>Optimistisch!F10</f>
        <v>6.226</v>
      </c>
      <c r="G10" s="7">
        <f>Optimistisch!G10</f>
        <v>6.064</v>
      </c>
      <c r="H10" s="8">
        <f t="shared" ref="H10:R10" si="2">G10*(1+H11)</f>
        <v>6.279272</v>
      </c>
      <c r="I10" s="8">
        <f t="shared" si="2"/>
        <v>6.502186156</v>
      </c>
      <c r="J10" s="8">
        <f t="shared" si="2"/>
        <v>6.733013765</v>
      </c>
      <c r="K10" s="8">
        <f t="shared" si="2"/>
        <v>6.972035753</v>
      </c>
      <c r="L10" s="8">
        <f t="shared" si="2"/>
        <v>7.219543022</v>
      </c>
      <c r="M10" s="8">
        <f t="shared" si="2"/>
        <v>7.4758368</v>
      </c>
      <c r="N10" s="8">
        <f t="shared" si="2"/>
        <v>7.741229006</v>
      </c>
      <c r="O10" s="8">
        <f t="shared" si="2"/>
        <v>8.016042636</v>
      </c>
      <c r="P10" s="8">
        <f t="shared" si="2"/>
        <v>8.300612149</v>
      </c>
      <c r="Q10" s="8">
        <f t="shared" si="2"/>
        <v>8.595283881</v>
      </c>
      <c r="R10" s="8">
        <f t="shared" si="2"/>
        <v>8.767189558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0.3210427431</v>
      </c>
      <c r="E11" s="10">
        <f t="shared" si="3"/>
        <v>0.0464</v>
      </c>
      <c r="F11" s="10">
        <f t="shared" si="3"/>
        <v>0.0577641862</v>
      </c>
      <c r="G11" s="10">
        <f t="shared" si="3"/>
        <v>-0.02601991648</v>
      </c>
      <c r="H11" s="11">
        <v>0.0355</v>
      </c>
      <c r="I11" s="11">
        <f t="shared" ref="I11:Q11" si="4">$H$11</f>
        <v>0.0355</v>
      </c>
      <c r="J11" s="11">
        <f t="shared" si="4"/>
        <v>0.0355</v>
      </c>
      <c r="K11" s="11">
        <f t="shared" si="4"/>
        <v>0.0355</v>
      </c>
      <c r="L11" s="11">
        <f t="shared" si="4"/>
        <v>0.0355</v>
      </c>
      <c r="M11" s="11">
        <f t="shared" si="4"/>
        <v>0.0355</v>
      </c>
      <c r="N11" s="11">
        <f t="shared" si="4"/>
        <v>0.0355</v>
      </c>
      <c r="O11" s="11">
        <f t="shared" si="4"/>
        <v>0.0355</v>
      </c>
      <c r="P11" s="11">
        <f t="shared" si="4"/>
        <v>0.0355</v>
      </c>
      <c r="Q11" s="11">
        <f t="shared" si="4"/>
        <v>0.0355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0.2388445279</v>
      </c>
      <c r="D12" s="10">
        <f t="shared" si="5"/>
        <v>0.2193777778</v>
      </c>
      <c r="E12" s="10">
        <f t="shared" si="5"/>
        <v>0.2448182127</v>
      </c>
      <c r="F12" s="10">
        <f t="shared" si="5"/>
        <v>0.2512046258</v>
      </c>
      <c r="G12" s="10">
        <f t="shared" si="5"/>
        <v>0.2602242744</v>
      </c>
      <c r="H12" s="11">
        <f>Optimistisch!H12</f>
        <v>0.289</v>
      </c>
      <c r="I12" s="11">
        <f>Optimistisch!I12</f>
        <v>0.2998</v>
      </c>
      <c r="J12" s="11">
        <f>Optimistisch!J12</f>
        <v>0.2966</v>
      </c>
      <c r="K12" s="11">
        <f>Optimistisch!K12</f>
        <v>0.3</v>
      </c>
      <c r="L12" s="11">
        <f>Optimistisch!L12</f>
        <v>0.285</v>
      </c>
      <c r="M12" s="11">
        <f>Optimistisch!M12</f>
        <v>0.28</v>
      </c>
      <c r="N12" s="11">
        <f>Optimistisch!N12</f>
        <v>0.295</v>
      </c>
      <c r="O12" s="11">
        <f>Optimistisch!O12</f>
        <v>0.305</v>
      </c>
      <c r="P12" s="11">
        <f>Optimistisch!P12</f>
        <v>0.31</v>
      </c>
      <c r="Q12" s="11">
        <f>Optimistisch!Q12</f>
        <v>0.315</v>
      </c>
      <c r="R12" s="11">
        <f>Optimistisch!R12</f>
        <v>0.32</v>
      </c>
    </row>
    <row r="13" ht="15.75" customHeight="1">
      <c r="B13" s="2" t="s">
        <v>8</v>
      </c>
      <c r="C13" s="7">
        <f>Optimistisch!C13</f>
        <v>1.017</v>
      </c>
      <c r="D13" s="7">
        <f>Optimistisch!D13</f>
        <v>1.234</v>
      </c>
      <c r="E13" s="7">
        <f>Optimistisch!E13</f>
        <v>1.441</v>
      </c>
      <c r="F13" s="7">
        <f>Optimistisch!F13</f>
        <v>1.564</v>
      </c>
      <c r="G13" s="7">
        <f>Optimistisch!G13</f>
        <v>1.578</v>
      </c>
      <c r="H13" s="8">
        <f t="shared" ref="H13:R13" si="6">H10*H12</f>
        <v>1.814709608</v>
      </c>
      <c r="I13" s="8">
        <f t="shared" si="6"/>
        <v>1.94935541</v>
      </c>
      <c r="J13" s="8">
        <f t="shared" si="6"/>
        <v>1.997011883</v>
      </c>
      <c r="K13" s="8">
        <f t="shared" si="6"/>
        <v>2.091610726</v>
      </c>
      <c r="L13" s="8">
        <f t="shared" si="6"/>
        <v>2.057569761</v>
      </c>
      <c r="M13" s="8">
        <f t="shared" si="6"/>
        <v>2.093234304</v>
      </c>
      <c r="N13" s="8">
        <f t="shared" si="6"/>
        <v>2.283662557</v>
      </c>
      <c r="O13" s="8">
        <f t="shared" si="6"/>
        <v>2.444893004</v>
      </c>
      <c r="P13" s="8">
        <f t="shared" si="6"/>
        <v>2.573189766</v>
      </c>
      <c r="Q13" s="8">
        <f t="shared" si="6"/>
        <v>2.707514422</v>
      </c>
      <c r="R13" s="8">
        <f t="shared" si="6"/>
        <v>2.805500659</v>
      </c>
    </row>
    <row r="14" ht="15.75" customHeight="1">
      <c r="A14" s="11">
        <f>Optimistisch!A14</f>
        <v>0.25</v>
      </c>
      <c r="B14" s="2" t="s">
        <v>9</v>
      </c>
      <c r="C14" s="7">
        <f>Optimistisch!C14</f>
        <v>0.774</v>
      </c>
      <c r="D14" s="7">
        <f>Optimistisch!D14</f>
        <v>0.933</v>
      </c>
      <c r="E14" s="7">
        <f>Optimistisch!E14</f>
        <v>1.187</v>
      </c>
      <c r="F14" s="7">
        <f>Optimistisch!F14</f>
        <v>1.125</v>
      </c>
      <c r="G14" s="7">
        <f>Optimistisch!G14</f>
        <v>1.059</v>
      </c>
      <c r="H14" s="8">
        <f t="shared" ref="H14:R14" si="7">H13*(1-$A$14)</f>
        <v>1.361032206</v>
      </c>
      <c r="I14" s="8">
        <f t="shared" si="7"/>
        <v>1.462016557</v>
      </c>
      <c r="J14" s="8">
        <f t="shared" si="7"/>
        <v>1.497758912</v>
      </c>
      <c r="K14" s="8">
        <f t="shared" si="7"/>
        <v>1.568708044</v>
      </c>
      <c r="L14" s="8">
        <f t="shared" si="7"/>
        <v>1.543177321</v>
      </c>
      <c r="M14" s="8">
        <f t="shared" si="7"/>
        <v>1.569925728</v>
      </c>
      <c r="N14" s="8">
        <f t="shared" si="7"/>
        <v>1.712746918</v>
      </c>
      <c r="O14" s="8">
        <f t="shared" si="7"/>
        <v>1.833669753</v>
      </c>
      <c r="P14" s="8">
        <f t="shared" si="7"/>
        <v>1.929892325</v>
      </c>
      <c r="Q14" s="8">
        <f t="shared" si="7"/>
        <v>2.030635817</v>
      </c>
      <c r="R14" s="8">
        <f t="shared" si="7"/>
        <v>2.104125494</v>
      </c>
    </row>
    <row r="15" ht="15.75" customHeight="1">
      <c r="A15" s="11">
        <f>Optimistisch!A15</f>
        <v>0.99</v>
      </c>
      <c r="B15" s="2" t="s">
        <v>10</v>
      </c>
      <c r="H15" s="8">
        <f>C33</f>
        <v>0.57696</v>
      </c>
      <c r="I15" s="8">
        <f t="shared" ref="I15:Q15" si="8">H15*$A$15</f>
        <v>0.5711904</v>
      </c>
      <c r="J15" s="8">
        <f t="shared" si="8"/>
        <v>0.565478496</v>
      </c>
      <c r="K15" s="8">
        <f t="shared" si="8"/>
        <v>0.559823711</v>
      </c>
      <c r="L15" s="8">
        <f t="shared" si="8"/>
        <v>0.5542254739</v>
      </c>
      <c r="M15" s="8">
        <f t="shared" si="8"/>
        <v>0.5486832192</v>
      </c>
      <c r="N15" s="8">
        <f t="shared" si="8"/>
        <v>0.543196387</v>
      </c>
      <c r="O15" s="8">
        <f t="shared" si="8"/>
        <v>0.5377644231</v>
      </c>
      <c r="P15" s="8">
        <f t="shared" si="8"/>
        <v>0.5323867789</v>
      </c>
      <c r="Q15" s="8">
        <f t="shared" si="8"/>
        <v>0.5270629111</v>
      </c>
      <c r="R15" s="6" t="s">
        <v>6</v>
      </c>
    </row>
    <row r="16" ht="15.75" customHeight="1">
      <c r="B16" s="2" t="s">
        <v>11</v>
      </c>
      <c r="H16" s="8">
        <f t="shared" ref="H16:Q16" si="9">H14/H15</f>
        <v>2.358971516</v>
      </c>
      <c r="I16" s="8">
        <f t="shared" si="9"/>
        <v>2.559595815</v>
      </c>
      <c r="J16" s="8">
        <f t="shared" si="9"/>
        <v>2.648657593</v>
      </c>
      <c r="K16" s="8">
        <f t="shared" si="9"/>
        <v>2.802146486</v>
      </c>
      <c r="L16" s="8">
        <f t="shared" si="9"/>
        <v>2.784385406</v>
      </c>
      <c r="M16" s="8">
        <f t="shared" si="9"/>
        <v>2.861260693</v>
      </c>
      <c r="N16" s="8">
        <f t="shared" si="9"/>
        <v>3.153089672</v>
      </c>
      <c r="O16" s="8">
        <f t="shared" si="9"/>
        <v>3.409801158</v>
      </c>
      <c r="P16" s="8">
        <f t="shared" si="9"/>
        <v>3.624981689</v>
      </c>
      <c r="Q16" s="8">
        <f t="shared" si="9"/>
        <v>3.852738969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1.273054943</v>
      </c>
      <c r="I17" s="14">
        <f>I14/(1+$B$29)^2</f>
        <v>1.279115561</v>
      </c>
      <c r="J17" s="14">
        <f>J14/(1+$B$29)^3</f>
        <v>1.225682963</v>
      </c>
      <c r="K17" s="14">
        <f>K14/(1+$B$29)^4</f>
        <v>1.200762472</v>
      </c>
      <c r="L17" s="14">
        <f>L14/(1+$B$29)^5</f>
        <v>1.104865876</v>
      </c>
      <c r="M17" s="14">
        <f>M14/(1+$B$29)^6</f>
        <v>1.051360317</v>
      </c>
      <c r="N17" s="14">
        <f>N14/(1+$B$29)^7</f>
        <v>1.072863361</v>
      </c>
      <c r="O17" s="14">
        <f>O14/(1+$B$29)^8</f>
        <v>1.074363107</v>
      </c>
      <c r="P17" s="14">
        <f>P14/(1+$B$29)^9</f>
        <v>1.057649552</v>
      </c>
      <c r="Q17" s="14">
        <f>Q14/(1+$B$29)^10</f>
        <v>1.040925142</v>
      </c>
      <c r="R17" s="15">
        <f>(R14/(B29-R11))/(1+B29)^10</f>
        <v>21.96412581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0.04024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0.0288672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0.97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0.0691072</v>
      </c>
    </row>
    <row r="30" ht="15.75" customHeight="1"/>
    <row r="31" ht="15.75" customHeight="1">
      <c r="A31" s="3"/>
      <c r="B31" s="3"/>
      <c r="C31" s="24">
        <f>Optimistisch!C31</f>
        <v>45324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32.684784</v>
      </c>
      <c r="D32" s="8">
        <f>SUM(H17:R17)</f>
        <v>33.3447691</v>
      </c>
    </row>
    <row r="33" ht="15.75" customHeight="1">
      <c r="A33" s="5"/>
      <c r="B33" s="5" t="s">
        <v>22</v>
      </c>
      <c r="C33" s="8">
        <f>Optimistisch!C33</f>
        <v>0.57696</v>
      </c>
      <c r="D33" s="8">
        <f>C33</f>
        <v>0.57696</v>
      </c>
    </row>
    <row r="34" ht="15.75" customHeight="1">
      <c r="A34" s="5"/>
      <c r="B34" s="5" t="s">
        <v>23</v>
      </c>
      <c r="C34" s="8">
        <f>Optimistisch!C34</f>
        <v>56.65</v>
      </c>
      <c r="D34" s="8">
        <f>D32/D33</f>
        <v>57.79390097</v>
      </c>
    </row>
    <row r="35" ht="15.75" customHeight="1">
      <c r="A35" s="5"/>
      <c r="B35" s="5" t="s">
        <v>24</v>
      </c>
      <c r="C35" s="5"/>
      <c r="D35" s="11">
        <f>IF(C34/D34-1&gt;0,0,C34/D34-1)*-1</f>
        <v>0.01979276276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36.0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138.6986029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0.45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13.52503305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150.194881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1.651277687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0.1024160353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Nasdaq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4.258</v>
      </c>
      <c r="D10" s="7">
        <f>Optimistisch!D10</f>
        <v>5.625</v>
      </c>
      <c r="E10" s="7">
        <f>Optimistisch!E10</f>
        <v>5.886</v>
      </c>
      <c r="F10" s="7">
        <f>Optimistisch!F10</f>
        <v>6.226</v>
      </c>
      <c r="G10" s="7">
        <f>Optimistisch!G10</f>
        <v>6.064</v>
      </c>
      <c r="H10" s="8">
        <f>Optimistisch!H10</f>
        <v>7.77143</v>
      </c>
      <c r="I10" s="8">
        <f>Optimistisch!I10</f>
        <v>8.29083</v>
      </c>
      <c r="J10" s="8">
        <f>Optimistisch!J10</f>
        <v>9.25447</v>
      </c>
      <c r="K10" s="8">
        <f>(Optimistisch!K10+Pessimistisch!K10)/2</f>
        <v>9.786602025</v>
      </c>
      <c r="L10" s="8">
        <f>(Optimistisch!L10+Pessimistisch!L10)/2</f>
        <v>10.34938948</v>
      </c>
      <c r="M10" s="8">
        <f>(Optimistisch!M10+Pessimistisch!M10)/2</f>
        <v>10.86710362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J11" si="2">C12/C10</f>
        <v>0.1963363081</v>
      </c>
      <c r="D11" s="10">
        <f t="shared" si="2"/>
        <v>0.1891555556</v>
      </c>
      <c r="E11" s="10">
        <f t="shared" si="2"/>
        <v>0.1563030921</v>
      </c>
      <c r="F11" s="10">
        <f t="shared" si="2"/>
        <v>0.2494378413</v>
      </c>
      <c r="G11" s="10">
        <f t="shared" si="2"/>
        <v>0.2384564644</v>
      </c>
      <c r="H11" s="11">
        <f t="shared" si="2"/>
        <v>0.227413745</v>
      </c>
      <c r="I11" s="11">
        <f t="shared" si="2"/>
        <v>0.2329887357</v>
      </c>
      <c r="J11" s="11">
        <f t="shared" si="2"/>
        <v>0.2279979296</v>
      </c>
      <c r="K11" s="11">
        <v>0.205</v>
      </c>
      <c r="L11" s="11">
        <v>0.22</v>
      </c>
      <c r="M11" s="11">
        <v>0.245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0.836</v>
      </c>
      <c r="D12" s="7">
        <v>1.064</v>
      </c>
      <c r="E12" s="7">
        <v>0.92</v>
      </c>
      <c r="F12" s="7">
        <v>1.553</v>
      </c>
      <c r="G12" s="7">
        <v>1.446</v>
      </c>
      <c r="H12" s="8">
        <v>1.76733</v>
      </c>
      <c r="I12" s="8">
        <v>1.93167</v>
      </c>
      <c r="J12" s="8">
        <v>2.11</v>
      </c>
      <c r="K12" s="8">
        <f t="shared" ref="K12:M12" si="3">K10*K11</f>
        <v>2.006253415</v>
      </c>
      <c r="L12" s="8">
        <f t="shared" si="3"/>
        <v>2.276865686</v>
      </c>
      <c r="M12" s="8">
        <f t="shared" si="3"/>
        <v>2.662440387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1.670522656</v>
      </c>
      <c r="I13" s="14">
        <f>I12/(1+$B$37)^2</f>
        <v>1.725847334</v>
      </c>
      <c r="J13" s="14">
        <f>J12/(1+$B$37)^3</f>
        <v>1.781913494</v>
      </c>
      <c r="K13" s="14">
        <f>K12/(1+$B$37)^4</f>
        <v>1.601491621</v>
      </c>
      <c r="L13" s="14">
        <f>L12/(1+$B$37)^5</f>
        <v>1.717951956</v>
      </c>
      <c r="M13" s="15">
        <f>(M12/(B37-B39))/(1+B37)^5</f>
        <v>34.66550726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0.04024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0.0288672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0.97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0.0691072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32.684784</v>
      </c>
    </row>
    <row r="30" ht="15.75" customHeight="1">
      <c r="A30" s="30"/>
      <c r="B30" s="18"/>
    </row>
    <row r="31" ht="15.75" customHeight="1">
      <c r="A31" s="30" t="s">
        <v>36</v>
      </c>
      <c r="B31" s="21">
        <v>10.001</v>
      </c>
    </row>
    <row r="32" ht="15.75" customHeight="1">
      <c r="A32" s="30"/>
      <c r="B32" s="18"/>
    </row>
    <row r="33" ht="15.75" customHeight="1">
      <c r="A33" s="30" t="s">
        <v>37</v>
      </c>
      <c r="B33" s="20">
        <v>0.0272</v>
      </c>
    </row>
    <row r="34" ht="15.75" customHeight="1">
      <c r="A34" s="30"/>
      <c r="B34" s="18"/>
    </row>
    <row r="35" ht="15.75" customHeight="1">
      <c r="A35" s="30" t="s">
        <v>38</v>
      </c>
      <c r="B35" s="20">
        <v>0.21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0.0579503329</v>
      </c>
    </row>
    <row r="38" ht="15.75" customHeight="1">
      <c r="B38" s="10"/>
    </row>
    <row r="39" ht="15.75" customHeight="1">
      <c r="A39" s="2" t="s">
        <v>40</v>
      </c>
      <c r="B39" s="10"/>
    </row>
    <row r="40" ht="15.75" customHeight="1"/>
    <row r="41" ht="15.75" customHeight="1">
      <c r="A41" s="3"/>
      <c r="B41" s="3"/>
      <c r="C41" s="24">
        <f>Optimistisch!C31</f>
        <v>45324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32.684784</v>
      </c>
      <c r="D42" s="8">
        <f>SUM(H13:M13)-B31</f>
        <v>33.16223432</v>
      </c>
    </row>
    <row r="43" ht="15.75" customHeight="1">
      <c r="A43" s="5"/>
      <c r="B43" s="5" t="s">
        <v>22</v>
      </c>
      <c r="C43" s="8">
        <f>Optimistisch!C33</f>
        <v>0.57696</v>
      </c>
      <c r="D43" s="8">
        <f>C43</f>
        <v>0.57696</v>
      </c>
    </row>
    <row r="44" ht="15.75" customHeight="1">
      <c r="A44" s="5"/>
      <c r="B44" s="5" t="s">
        <v>23</v>
      </c>
      <c r="C44" s="8">
        <f>Optimistisch!C34</f>
        <v>56.65</v>
      </c>
      <c r="D44" s="8">
        <f>D42/D43</f>
        <v>57.4775276</v>
      </c>
    </row>
    <row r="45" ht="15.75" customHeight="1">
      <c r="A45" s="5"/>
      <c r="B45" s="5" t="s">
        <v>24</v>
      </c>
      <c r="C45" s="5"/>
      <c r="D45" s="11">
        <f>IF(C44/D44-1&gt;0,0,C44/D44-1)*-1</f>
        <v>0.0143974112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