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x2cGj33KCP4IDj6nCgv9e58RbnvIwSvB2EfafW8/2D8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<sst xmlns="http://schemas.openxmlformats.org/spreadsheetml/2006/main" count="118" uniqueCount="41">
  <si>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</si>
  <si>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Xano Industri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</si>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</sst>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2019.0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v>2.128023</v>
      </c>
      <c r="D10" s="7">
        <v>2.239432</v>
      </c>
      <c r="E10" s="7">
        <v>3.151375</v>
      </c>
      <c r="F10" s="7">
        <v>3.509</v>
      </c>
      <c r="G10" s="7">
        <v>3.431</v>
      </c>
      <c r="H10" s="8">
        <v>3.6197049999999997</v>
      </c>
      <c r="I10" s="8">
        <v>4.01787255</v>
      </c>
      <c r="J10" s="8">
        <v>4.359391716749999</v>
      </c>
      <c r="K10" s="8">
        <f t="shared" ref="K10:R10" si="2">J10*(1+K11)</f>
        <v>4.664549137</v>
      </c>
      <c r="L10" s="8">
        <f t="shared" si="2"/>
        <v>4.967744831</v>
      </c>
      <c r="M10" s="8">
        <f t="shared" si="2"/>
        <v>5.265809521</v>
      </c>
      <c r="N10" s="8">
        <f t="shared" si="2"/>
        <v>5.397454759</v>
      </c>
      <c r="O10" s="8">
        <f t="shared" si="2"/>
        <v>5.910212961</v>
      </c>
      <c r="P10" s="8">
        <f t="shared" si="2"/>
        <v>6.383029998</v>
      </c>
      <c r="Q10" s="8">
        <f t="shared" si="2"/>
        <v>6.670266348</v>
      </c>
      <c r="R10" s="8">
        <f t="shared" si="2"/>
        <v>6.803671674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0.05235328753</v>
      </c>
      <c r="E11" s="10">
        <f t="shared" si="3"/>
        <v>0.4072206702</v>
      </c>
      <c r="F11" s="10">
        <f t="shared" si="3"/>
        <v>0.1134822101</v>
      </c>
      <c r="G11" s="10">
        <f t="shared" si="3"/>
        <v>-0.02222855514</v>
      </c>
      <c r="H11" s="11">
        <f t="shared" si="3"/>
        <v>0.055</v>
      </c>
      <c r="I11" s="11">
        <f t="shared" si="3"/>
        <v>0.11</v>
      </c>
      <c r="J11" s="11">
        <f t="shared" si="3"/>
        <v>0.085</v>
      </c>
      <c r="K11" s="11">
        <v>0.07</v>
      </c>
      <c r="L11" s="11">
        <v>0.065</v>
      </c>
      <c r="M11" s="11">
        <v>0.06</v>
      </c>
      <c r="N11" s="11">
        <v>0.025</v>
      </c>
      <c r="O11" s="11">
        <v>0.095</v>
      </c>
      <c r="P11" s="11">
        <v>0.08</v>
      </c>
      <c r="Q11" s="11">
        <v>0.045</v>
      </c>
      <c r="R11" s="11">
        <v>0.02</v>
      </c>
    </row>
    <row r="12" ht="15.75" customHeight="1">
      <c r="B12" s="2" t="s">
        <v>7</v>
      </c>
      <c r="C12" s="10">
        <f t="shared" ref="C12:J12" si="4">C13/C10</f>
        <v>0.1078197933</v>
      </c>
      <c r="D12" s="10">
        <f t="shared" si="4"/>
        <v>0.1221863401</v>
      </c>
      <c r="E12" s="10">
        <f t="shared" si="4"/>
        <v>0.14372393</v>
      </c>
      <c r="F12" s="10">
        <f t="shared" si="4"/>
        <v>0.09717868339</v>
      </c>
      <c r="G12" s="10">
        <f t="shared" si="4"/>
        <v>0.08772952492</v>
      </c>
      <c r="H12" s="11">
        <f t="shared" si="4"/>
        <v>0.0825</v>
      </c>
      <c r="I12" s="11">
        <f t="shared" si="4"/>
        <v>0.095</v>
      </c>
      <c r="J12" s="11">
        <f t="shared" si="4"/>
        <v>0.1075</v>
      </c>
      <c r="K12" s="11">
        <v>0.105</v>
      </c>
      <c r="L12" s="11">
        <v>0.125</v>
      </c>
      <c r="M12" s="11">
        <v>0.1325</v>
      </c>
      <c r="N12" s="11">
        <v>0.08</v>
      </c>
      <c r="O12" s="11">
        <v>0.085</v>
      </c>
      <c r="P12" s="11">
        <v>0.105</v>
      </c>
      <c r="Q12" s="11">
        <v>0.1375</v>
      </c>
      <c r="R12" s="11">
        <v>0.11</v>
      </c>
    </row>
    <row r="13" ht="15.75" customHeight="1">
      <c r="B13" s="2" t="s">
        <v>8</v>
      </c>
      <c r="C13" s="7">
        <v>0.229443</v>
      </c>
      <c r="D13" s="7">
        <v>0.273628</v>
      </c>
      <c r="E13" s="7">
        <v>0.452928</v>
      </c>
      <c r="F13" s="7">
        <v>0.341</v>
      </c>
      <c r="G13" s="7">
        <v>0.301</v>
      </c>
      <c r="H13" s="8">
        <v>0.2986256625</v>
      </c>
      <c r="I13" s="8">
        <v>0.38169789225</v>
      </c>
      <c r="J13" s="8">
        <v>0.4686346095506249</v>
      </c>
      <c r="K13" s="8">
        <f t="shared" ref="K13:R13" si="5">K10*K12</f>
        <v>0.4897776594</v>
      </c>
      <c r="L13" s="8">
        <f t="shared" si="5"/>
        <v>0.6209681039</v>
      </c>
      <c r="M13" s="8">
        <f t="shared" si="5"/>
        <v>0.6977197615</v>
      </c>
      <c r="N13" s="8">
        <f t="shared" si="5"/>
        <v>0.4317963807</v>
      </c>
      <c r="O13" s="8">
        <f t="shared" si="5"/>
        <v>0.5023681017</v>
      </c>
      <c r="P13" s="8">
        <f t="shared" si="5"/>
        <v>0.6702181498</v>
      </c>
      <c r="Q13" s="8">
        <f t="shared" si="5"/>
        <v>0.9171616228</v>
      </c>
      <c r="R13" s="8">
        <f t="shared" si="5"/>
        <v>0.7484038842</v>
      </c>
    </row>
    <row r="14" ht="15.75" customHeight="1">
      <c r="A14" s="11">
        <v>0.3</v>
      </c>
      <c r="B14" s="2" t="s">
        <v>9</v>
      </c>
      <c r="C14" s="7">
        <v>0.163109</v>
      </c>
      <c r="D14" s="7">
        <v>0.195133</v>
      </c>
      <c r="E14" s="7">
        <v>0.342082</v>
      </c>
      <c r="F14" s="7">
        <v>0.249</v>
      </c>
      <c r="G14" s="7">
        <v>0.175</v>
      </c>
      <c r="H14" s="8">
        <v>0.179537368</v>
      </c>
      <c r="I14" s="8">
        <v>0.249509885355</v>
      </c>
      <c r="J14" s="8">
        <v>0.3252106220695499</v>
      </c>
      <c r="K14" s="8">
        <f t="shared" ref="K14:R14" si="6">K13*(1-$A$14)</f>
        <v>0.3428443616</v>
      </c>
      <c r="L14" s="8">
        <f t="shared" si="6"/>
        <v>0.4346776727</v>
      </c>
      <c r="M14" s="8">
        <f t="shared" si="6"/>
        <v>0.488403833</v>
      </c>
      <c r="N14" s="8">
        <f t="shared" si="6"/>
        <v>0.3022574665</v>
      </c>
      <c r="O14" s="8">
        <f t="shared" si="6"/>
        <v>0.3516576712</v>
      </c>
      <c r="P14" s="8">
        <f t="shared" si="6"/>
        <v>0.4691527048</v>
      </c>
      <c r="Q14" s="8">
        <f t="shared" si="6"/>
        <v>0.6420131359</v>
      </c>
      <c r="R14" s="8">
        <f t="shared" si="6"/>
        <v>0.5238827189</v>
      </c>
    </row>
    <row r="15" ht="15.75" customHeight="1">
      <c r="A15" s="11">
        <v>1.005</v>
      </c>
      <c r="B15" s="2" t="s">
        <v>10</v>
      </c>
      <c r="H15" s="8">
        <f>C33</f>
        <v>0.059640298</v>
      </c>
      <c r="I15" s="8">
        <f t="shared" ref="I15:Q15" si="7">H15*$A$15</f>
        <v>0.05993849949</v>
      </c>
      <c r="J15" s="8">
        <f t="shared" si="7"/>
        <v>0.06023819199</v>
      </c>
      <c r="K15" s="8">
        <f t="shared" si="7"/>
        <v>0.06053938295</v>
      </c>
      <c r="L15" s="8">
        <f t="shared" si="7"/>
        <v>0.06084207986</v>
      </c>
      <c r="M15" s="8">
        <f t="shared" si="7"/>
        <v>0.06114629026</v>
      </c>
      <c r="N15" s="8">
        <f t="shared" si="7"/>
        <v>0.06145202171</v>
      </c>
      <c r="O15" s="8">
        <f t="shared" si="7"/>
        <v>0.06175928182</v>
      </c>
      <c r="P15" s="8">
        <f t="shared" si="7"/>
        <v>0.06206807823</v>
      </c>
      <c r="Q15" s="8">
        <f t="shared" si="7"/>
        <v>0.06237841862</v>
      </c>
      <c r="R15" s="6" t="s">
        <v>6</v>
      </c>
    </row>
    <row r="16" ht="15.75" customHeight="1">
      <c r="B16" s="2" t="s">
        <v>11</v>
      </c>
      <c r="H16" s="8">
        <f t="shared" ref="H16:Q16" si="8">H14/H15</f>
        <v>3.010336535</v>
      </c>
      <c r="I16" s="8">
        <f t="shared" si="8"/>
        <v>4.162764959</v>
      </c>
      <c r="J16" s="8">
        <f t="shared" si="8"/>
        <v>5.398744739</v>
      </c>
      <c r="K16" s="8">
        <f t="shared" si="8"/>
        <v>5.663162472</v>
      </c>
      <c r="L16" s="8">
        <f t="shared" si="8"/>
        <v>7.144359195</v>
      </c>
      <c r="M16" s="8">
        <f t="shared" si="8"/>
        <v>7.987464668</v>
      </c>
      <c r="N16" s="8">
        <f t="shared" si="8"/>
        <v>4.918592718</v>
      </c>
      <c r="O16" s="8">
        <f t="shared" si="8"/>
        <v>5.694005189</v>
      </c>
      <c r="P16" s="8">
        <f t="shared" si="8"/>
        <v>7.558679408</v>
      </c>
      <c r="Q16" s="8">
        <f t="shared" si="8"/>
        <v>10.29223167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0.1687359869</v>
      </c>
      <c r="I17" s="14">
        <f>I14/(1+$B$29)^2</f>
        <v>0.2203908095</v>
      </c>
      <c r="J17" s="14">
        <f>J14/(1+$B$29)^3</f>
        <v>0.2699748493</v>
      </c>
      <c r="K17" s="14">
        <f>K14/(1+$B$29)^4</f>
        <v>0.2674905591</v>
      </c>
      <c r="L17" s="14">
        <f>L14/(1+$B$29)^5</f>
        <v>0.3187363844</v>
      </c>
      <c r="M17" s="14">
        <f>M14/(1+$B$29)^6</f>
        <v>0.3365861444</v>
      </c>
      <c r="N17" s="14">
        <f>N14/(1+$B$29)^7</f>
        <v>0.1957704189</v>
      </c>
      <c r="O17" s="14">
        <f>O14/(1+$B$29)^8</f>
        <v>0.2140636813</v>
      </c>
      <c r="P17" s="14">
        <f>P14/(1+$B$29)^9</f>
        <v>0.2684046159</v>
      </c>
      <c r="Q17" s="14">
        <f>Q14/(1+$B$29)^10</f>
        <v>0.3452013867</v>
      </c>
      <c r="R17" s="15">
        <f>(R14/(B29-R11))/(1+B29)^10</f>
        <v>6.399953005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0.02395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0.0400635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0.87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0.0640135</v>
      </c>
    </row>
    <row r="30" ht="15.75" customHeight="1"/>
    <row r="31" ht="15.75" customHeight="1">
      <c r="A31" s="3"/>
      <c r="B31" s="3"/>
      <c r="C31" s="24">
        <v>45338.0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4.77122384</v>
      </c>
      <c r="D32" s="8">
        <f>SUM(H17:R17)</f>
        <v>9.005307841</v>
      </c>
    </row>
    <row r="33" ht="15.75" customHeight="1">
      <c r="A33" s="5"/>
      <c r="B33" s="5" t="s">
        <v>22</v>
      </c>
      <c r="C33" s="8">
        <f>0.059640298</f>
        <v>0.059640298</v>
      </c>
      <c r="D33" s="8">
        <f>C33</f>
        <v>0.059640298</v>
      </c>
    </row>
    <row r="34" ht="15.75" customHeight="1">
      <c r="A34" s="5"/>
      <c r="B34" s="5" t="s">
        <v>23</v>
      </c>
      <c r="C34" s="26">
        <v>80.0</v>
      </c>
      <c r="D34" s="8">
        <f>D32/D33</f>
        <v>150.9936761</v>
      </c>
    </row>
    <row r="35" ht="15.75" customHeight="1">
      <c r="A35" s="5"/>
      <c r="B35" s="5" t="s">
        <v>24</v>
      </c>
      <c r="C35" s="5"/>
      <c r="D35" s="11">
        <f>IF(C34/D34-1&gt;0,0,C34/D34-1)*-1</f>
        <v>0.4701764866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24.0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247.0135602</v>
      </c>
    </row>
    <row r="43" ht="15.75" customHeight="1">
      <c r="A43" s="30"/>
      <c r="D43" s="18"/>
    </row>
    <row r="44" ht="15.75" customHeight="1">
      <c r="A44" s="30" t="s">
        <v>27</v>
      </c>
      <c r="D44" s="20">
        <v>0.5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30.91517078</v>
      </c>
    </row>
    <row r="47" ht="15.75" customHeight="1">
      <c r="A47" s="30"/>
      <c r="D47" s="18"/>
    </row>
    <row r="48" ht="15.75" customHeight="1">
      <c r="A48" s="30" t="s">
        <v>29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273.2914554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2.416143192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0.1307161797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Xano Industri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2.128023</v>
      </c>
      <c r="D10" s="7">
        <f>Optimistisch!D10</f>
        <v>2.239432</v>
      </c>
      <c r="E10" s="7">
        <f>Optimistisch!E10</f>
        <v>3.151375</v>
      </c>
      <c r="F10" s="7">
        <f>Optimistisch!F10</f>
        <v>3.509</v>
      </c>
      <c r="G10" s="7">
        <f>Optimistisch!G10</f>
        <v>3.431</v>
      </c>
      <c r="H10" s="8">
        <f>Optimistisch!H10</f>
        <v>3.619705</v>
      </c>
      <c r="I10" s="8">
        <f>Optimistisch!I10</f>
        <v>4.01787255</v>
      </c>
      <c r="J10" s="8">
        <f>Optimistisch!J10</f>
        <v>4.359391717</v>
      </c>
      <c r="K10" s="8">
        <f t="shared" ref="K10:R10" si="2">J10*(1+K11)</f>
        <v>4.599158261</v>
      </c>
      <c r="L10" s="8">
        <f t="shared" si="2"/>
        <v>4.57616247</v>
      </c>
      <c r="M10" s="8">
        <f t="shared" si="2"/>
        <v>4.644804907</v>
      </c>
      <c r="N10" s="8">
        <f t="shared" si="2"/>
        <v>4.598356858</v>
      </c>
      <c r="O10" s="8">
        <f t="shared" si="2"/>
        <v>4.690323995</v>
      </c>
      <c r="P10" s="8">
        <f t="shared" si="2"/>
        <v>5.112453155</v>
      </c>
      <c r="Q10" s="8">
        <f t="shared" si="2"/>
        <v>5.291389015</v>
      </c>
      <c r="R10" s="8">
        <f t="shared" si="2"/>
        <v>5.37075985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0.05235328753</v>
      </c>
      <c r="E11" s="10">
        <f t="shared" si="3"/>
        <v>0.4072206702</v>
      </c>
      <c r="F11" s="10">
        <f t="shared" si="3"/>
        <v>0.1134822101</v>
      </c>
      <c r="G11" s="10">
        <f t="shared" si="3"/>
        <v>-0.02222855514</v>
      </c>
      <c r="H11" s="11">
        <f t="shared" si="3"/>
        <v>0.055</v>
      </c>
      <c r="I11" s="11">
        <f t="shared" si="3"/>
        <v>0.11</v>
      </c>
      <c r="J11" s="11">
        <f t="shared" si="3"/>
        <v>0.085</v>
      </c>
      <c r="K11" s="11">
        <v>0.055</v>
      </c>
      <c r="L11" s="11">
        <v>-0.005</v>
      </c>
      <c r="M11" s="11">
        <v>0.015</v>
      </c>
      <c r="N11" s="11">
        <v>-0.01</v>
      </c>
      <c r="O11" s="11">
        <v>0.02</v>
      </c>
      <c r="P11" s="11">
        <v>0.09</v>
      </c>
      <c r="Q11" s="11">
        <v>0.035</v>
      </c>
      <c r="R11" s="11">
        <v>0.015</v>
      </c>
    </row>
    <row r="12" ht="15.75" customHeight="1">
      <c r="B12" s="2" t="s">
        <v>7</v>
      </c>
      <c r="C12" s="10">
        <f t="shared" ref="C12:J12" si="4">C13/C10</f>
        <v>0.1078197933</v>
      </c>
      <c r="D12" s="10">
        <f t="shared" si="4"/>
        <v>0.1221863401</v>
      </c>
      <c r="E12" s="10">
        <f t="shared" si="4"/>
        <v>0.14372393</v>
      </c>
      <c r="F12" s="10">
        <f t="shared" si="4"/>
        <v>0.09717868339</v>
      </c>
      <c r="G12" s="10">
        <f t="shared" si="4"/>
        <v>0.08772952492</v>
      </c>
      <c r="H12" s="11">
        <f t="shared" si="4"/>
        <v>0.0825</v>
      </c>
      <c r="I12" s="11">
        <f t="shared" si="4"/>
        <v>0.095</v>
      </c>
      <c r="J12" s="11">
        <f t="shared" si="4"/>
        <v>0.1075</v>
      </c>
      <c r="K12" s="11">
        <v>0.095</v>
      </c>
      <c r="L12" s="11">
        <v>0.105</v>
      </c>
      <c r="M12" s="11">
        <v>0.09</v>
      </c>
      <c r="N12" s="11">
        <v>0.045</v>
      </c>
      <c r="O12" s="11">
        <v>0.0825</v>
      </c>
      <c r="P12" s="11">
        <v>0.075</v>
      </c>
      <c r="Q12" s="11">
        <v>0.1025</v>
      </c>
      <c r="R12" s="11">
        <v>0.1</v>
      </c>
    </row>
    <row r="13" ht="15.75" customHeight="1">
      <c r="B13" s="2" t="s">
        <v>8</v>
      </c>
      <c r="C13" s="7">
        <f>Optimistisch!C13</f>
        <v>0.229443</v>
      </c>
      <c r="D13" s="7">
        <f>Optimistisch!D13</f>
        <v>0.273628</v>
      </c>
      <c r="E13" s="7">
        <f>Optimistisch!E13</f>
        <v>0.452928</v>
      </c>
      <c r="F13" s="7">
        <f>Optimistisch!F13</f>
        <v>0.341</v>
      </c>
      <c r="G13" s="7">
        <f>Optimistisch!G13</f>
        <v>0.301</v>
      </c>
      <c r="H13" s="8">
        <f>Optimistisch!H13</f>
        <v>0.2986256625</v>
      </c>
      <c r="I13" s="8">
        <f>Optimistisch!I13</f>
        <v>0.3816978923</v>
      </c>
      <c r="J13" s="8">
        <f>Optimistisch!J13</f>
        <v>0.4686346096</v>
      </c>
      <c r="K13" s="8">
        <f t="shared" ref="K13:R13" si="5">K10*K12</f>
        <v>0.4369200348</v>
      </c>
      <c r="L13" s="8">
        <f t="shared" si="5"/>
        <v>0.4804970593</v>
      </c>
      <c r="M13" s="8">
        <f t="shared" si="5"/>
        <v>0.4180324416</v>
      </c>
      <c r="N13" s="8">
        <f t="shared" si="5"/>
        <v>0.2069260586</v>
      </c>
      <c r="O13" s="8">
        <f t="shared" si="5"/>
        <v>0.3869517296</v>
      </c>
      <c r="P13" s="8">
        <f t="shared" si="5"/>
        <v>0.3834339866</v>
      </c>
      <c r="Q13" s="8">
        <f t="shared" si="5"/>
        <v>0.542367374</v>
      </c>
      <c r="R13" s="8">
        <f t="shared" si="5"/>
        <v>0.537075985</v>
      </c>
    </row>
    <row r="14" ht="15.75" customHeight="1">
      <c r="A14" s="11">
        <v>0.35</v>
      </c>
      <c r="B14" s="2" t="s">
        <v>9</v>
      </c>
      <c r="C14" s="7">
        <f>Optimistisch!C14</f>
        <v>0.163109</v>
      </c>
      <c r="D14" s="7">
        <f>Optimistisch!D14</f>
        <v>0.195133</v>
      </c>
      <c r="E14" s="7">
        <f>Optimistisch!E14</f>
        <v>0.342082</v>
      </c>
      <c r="F14" s="7">
        <f>Optimistisch!F14</f>
        <v>0.249</v>
      </c>
      <c r="G14" s="7">
        <f>Optimistisch!G14</f>
        <v>0.175</v>
      </c>
      <c r="H14" s="8">
        <f>Optimistisch!H14</f>
        <v>0.179537368</v>
      </c>
      <c r="I14" s="8">
        <f>Optimistisch!I14</f>
        <v>0.2495098854</v>
      </c>
      <c r="J14" s="8">
        <f>Optimistisch!J14</f>
        <v>0.3252106221</v>
      </c>
      <c r="K14" s="8">
        <f t="shared" ref="K14:R14" si="6">K13*(1-$A$14)</f>
        <v>0.2839980226</v>
      </c>
      <c r="L14" s="8">
        <f t="shared" si="6"/>
        <v>0.3123230886</v>
      </c>
      <c r="M14" s="8">
        <f t="shared" si="6"/>
        <v>0.2717210871</v>
      </c>
      <c r="N14" s="8">
        <f t="shared" si="6"/>
        <v>0.1345019381</v>
      </c>
      <c r="O14" s="8">
        <f t="shared" si="6"/>
        <v>0.2515186242</v>
      </c>
      <c r="P14" s="8">
        <f t="shared" si="6"/>
        <v>0.2492320913</v>
      </c>
      <c r="Q14" s="8">
        <f t="shared" si="6"/>
        <v>0.3525387931</v>
      </c>
      <c r="R14" s="8">
        <f t="shared" si="6"/>
        <v>0.3490993903</v>
      </c>
    </row>
    <row r="15" ht="15.75" customHeight="1">
      <c r="A15" s="11">
        <v>1.01</v>
      </c>
      <c r="B15" s="2" t="s">
        <v>10</v>
      </c>
      <c r="H15" s="8">
        <f>C33</f>
        <v>0.059640298</v>
      </c>
      <c r="I15" s="8">
        <f t="shared" ref="I15:Q15" si="7">H15*$A$15</f>
        <v>0.06023670098</v>
      </c>
      <c r="J15" s="8">
        <f t="shared" si="7"/>
        <v>0.06083906799</v>
      </c>
      <c r="K15" s="8">
        <f t="shared" si="7"/>
        <v>0.06144745867</v>
      </c>
      <c r="L15" s="8">
        <f t="shared" si="7"/>
        <v>0.06206193326</v>
      </c>
      <c r="M15" s="8">
        <f t="shared" si="7"/>
        <v>0.06268255259</v>
      </c>
      <c r="N15" s="8">
        <f t="shared" si="7"/>
        <v>0.06330937811</v>
      </c>
      <c r="O15" s="8">
        <f t="shared" si="7"/>
        <v>0.0639424719</v>
      </c>
      <c r="P15" s="8">
        <f t="shared" si="7"/>
        <v>0.06458189661</v>
      </c>
      <c r="Q15" s="8">
        <f t="shared" si="7"/>
        <v>0.06522771558</v>
      </c>
      <c r="R15" s="6" t="s">
        <v>6</v>
      </c>
    </row>
    <row r="16" ht="15.75" customHeight="1">
      <c r="B16" s="2" t="s">
        <v>11</v>
      </c>
      <c r="H16" s="8">
        <f t="shared" ref="H16:Q16" si="8">H14/H15</f>
        <v>3.010336535</v>
      </c>
      <c r="I16" s="8">
        <f t="shared" si="8"/>
        <v>4.142157211</v>
      </c>
      <c r="J16" s="8">
        <f t="shared" si="8"/>
        <v>5.34542413</v>
      </c>
      <c r="K16" s="8">
        <f t="shared" si="8"/>
        <v>4.621802574</v>
      </c>
      <c r="L16" s="8">
        <f t="shared" si="8"/>
        <v>5.032442146</v>
      </c>
      <c r="M16" s="8">
        <f t="shared" si="8"/>
        <v>4.334875908</v>
      </c>
      <c r="N16" s="8">
        <f t="shared" si="8"/>
        <v>2.12451839</v>
      </c>
      <c r="O16" s="8">
        <f t="shared" si="8"/>
        <v>3.933514248</v>
      </c>
      <c r="P16" s="8">
        <f t="shared" si="8"/>
        <v>3.859163393</v>
      </c>
      <c r="Q16" s="8">
        <f t="shared" si="8"/>
        <v>5.404739228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0.1687359869</v>
      </c>
      <c r="I17" s="14">
        <f>I14/(1+$B$29)^2</f>
        <v>0.2203908095</v>
      </c>
      <c r="J17" s="14">
        <f>J14/(1+$B$29)^3</f>
        <v>0.2699748493</v>
      </c>
      <c r="K17" s="14">
        <f>K14/(1+$B$29)^4</f>
        <v>0.2215780639</v>
      </c>
      <c r="L17" s="14">
        <f>L14/(1+$B$29)^5</f>
        <v>0.2290173576</v>
      </c>
      <c r="M17" s="14">
        <f>M14/(1+$B$29)^6</f>
        <v>0.1872580575</v>
      </c>
      <c r="N17" s="14">
        <f>N14/(1+$B$29)^7</f>
        <v>0.08711613006</v>
      </c>
      <c r="O17" s="14">
        <f>O14/(1+$B$29)^8</f>
        <v>0.1531062935</v>
      </c>
      <c r="P17" s="14">
        <f>P14/(1+$B$29)^9</f>
        <v>0.1425869297</v>
      </c>
      <c r="Q17" s="14">
        <f>Q14/(1+$B$29)^10</f>
        <v>0.189555125</v>
      </c>
      <c r="R17" s="15">
        <f>(R14/(B29-R11))/(1+B29)^10</f>
        <v>3.829675635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0.02395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0.0400635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0.87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0.0640135</v>
      </c>
    </row>
    <row r="30" ht="15.75" customHeight="1"/>
    <row r="31" ht="15.75" customHeight="1">
      <c r="A31" s="3"/>
      <c r="B31" s="3"/>
      <c r="C31" s="24">
        <f>Optimistisch!C31</f>
        <v>45338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4.77122384</v>
      </c>
      <c r="D32" s="8">
        <f>SUM(H17:R17)</f>
        <v>5.698995238</v>
      </c>
    </row>
    <row r="33" ht="15.75" customHeight="1">
      <c r="A33" s="5"/>
      <c r="B33" s="5" t="s">
        <v>22</v>
      </c>
      <c r="C33" s="8">
        <f>Optimistisch!C33</f>
        <v>0.059640298</v>
      </c>
      <c r="D33" s="8">
        <f>C33</f>
        <v>0.059640298</v>
      </c>
    </row>
    <row r="34" ht="15.75" customHeight="1">
      <c r="A34" s="5"/>
      <c r="B34" s="5" t="s">
        <v>23</v>
      </c>
      <c r="C34" s="8">
        <f>Optimistisch!C34</f>
        <v>80</v>
      </c>
      <c r="D34" s="8">
        <f>D32/D33</f>
        <v>95.55611607</v>
      </c>
    </row>
    <row r="35" ht="15.75" customHeight="1">
      <c r="A35" s="5"/>
      <c r="B35" s="5" t="s">
        <v>24</v>
      </c>
      <c r="C35" s="5"/>
      <c r="D35" s="11">
        <f>IF(C34/D34-1&gt;0,0,C34/D34-1)*-1</f>
        <v>0.1627956086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17.0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91.88056687</v>
      </c>
    </row>
    <row r="43" ht="15.75" customHeight="1">
      <c r="A43" s="30"/>
      <c r="D43" s="18"/>
    </row>
    <row r="44" ht="15.75" customHeight="1">
      <c r="A44" s="30" t="s">
        <v>27</v>
      </c>
      <c r="D44" s="20">
        <v>0.4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16.7235895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106.0956179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0.3261952243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0.02863369392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Xano Industri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2.128023</v>
      </c>
      <c r="D10" s="7">
        <f>Optimistisch!D10</f>
        <v>2.239432</v>
      </c>
      <c r="E10" s="7">
        <f>Optimistisch!E10</f>
        <v>3.151375</v>
      </c>
      <c r="F10" s="7">
        <f>Optimistisch!F10</f>
        <v>3.509</v>
      </c>
      <c r="G10" s="7">
        <f>Optimistisch!G10</f>
        <v>3.431</v>
      </c>
      <c r="H10" s="8">
        <f t="shared" ref="H10:R10" si="2">G10*(1+H11)</f>
        <v>3.400121</v>
      </c>
      <c r="I10" s="8">
        <f t="shared" si="2"/>
        <v>3.369519911</v>
      </c>
      <c r="J10" s="8">
        <f t="shared" si="2"/>
        <v>3.339194232</v>
      </c>
      <c r="K10" s="8">
        <f t="shared" si="2"/>
        <v>3.309141484</v>
      </c>
      <c r="L10" s="8">
        <f t="shared" si="2"/>
        <v>3.27935921</v>
      </c>
      <c r="M10" s="8">
        <f t="shared" si="2"/>
        <v>3.249844977</v>
      </c>
      <c r="N10" s="8">
        <f t="shared" si="2"/>
        <v>3.220596373</v>
      </c>
      <c r="O10" s="8">
        <f t="shared" si="2"/>
        <v>3.191611005</v>
      </c>
      <c r="P10" s="8">
        <f t="shared" si="2"/>
        <v>3.162886506</v>
      </c>
      <c r="Q10" s="8">
        <f t="shared" si="2"/>
        <v>3.134420528</v>
      </c>
      <c r="R10" s="8">
        <f t="shared" si="2"/>
        <v>3.197108938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0.05235328753</v>
      </c>
      <c r="E11" s="10">
        <f t="shared" si="3"/>
        <v>0.4072206702</v>
      </c>
      <c r="F11" s="10">
        <f t="shared" si="3"/>
        <v>0.1134822101</v>
      </c>
      <c r="G11" s="10">
        <f t="shared" si="3"/>
        <v>-0.02222855514</v>
      </c>
      <c r="H11" s="11">
        <v>-0.009</v>
      </c>
      <c r="I11" s="11">
        <f t="shared" ref="I11:Q11" si="4">$H$11</f>
        <v>-0.009</v>
      </c>
      <c r="J11" s="11">
        <f t="shared" si="4"/>
        <v>-0.009</v>
      </c>
      <c r="K11" s="11">
        <f t="shared" si="4"/>
        <v>-0.009</v>
      </c>
      <c r="L11" s="11">
        <f t="shared" si="4"/>
        <v>-0.009</v>
      </c>
      <c r="M11" s="11">
        <f t="shared" si="4"/>
        <v>-0.009</v>
      </c>
      <c r="N11" s="11">
        <f t="shared" si="4"/>
        <v>-0.009</v>
      </c>
      <c r="O11" s="11">
        <f t="shared" si="4"/>
        <v>-0.009</v>
      </c>
      <c r="P11" s="11">
        <f t="shared" si="4"/>
        <v>-0.009</v>
      </c>
      <c r="Q11" s="11">
        <f t="shared" si="4"/>
        <v>-0.009</v>
      </c>
      <c r="R11" s="11">
        <f>Optimistisch!R11</f>
        <v>0.02</v>
      </c>
    </row>
    <row r="12" ht="15.75" customHeight="1">
      <c r="B12" s="2" t="s">
        <v>7</v>
      </c>
      <c r="C12" s="10">
        <f t="shared" ref="C12:G12" si="5">C13/C10</f>
        <v>0.1078197933</v>
      </c>
      <c r="D12" s="10">
        <f t="shared" si="5"/>
        <v>0.1221863401</v>
      </c>
      <c r="E12" s="10">
        <f t="shared" si="5"/>
        <v>0.14372393</v>
      </c>
      <c r="F12" s="10">
        <f t="shared" si="5"/>
        <v>0.09717868339</v>
      </c>
      <c r="G12" s="10">
        <f t="shared" si="5"/>
        <v>0.08772952492</v>
      </c>
      <c r="H12" s="11">
        <f>Optimistisch!H12</f>
        <v>0.0825</v>
      </c>
      <c r="I12" s="11">
        <f>Optimistisch!I12</f>
        <v>0.095</v>
      </c>
      <c r="J12" s="11">
        <f>Optimistisch!J12</f>
        <v>0.1075</v>
      </c>
      <c r="K12" s="11">
        <f>Optimistisch!K12</f>
        <v>0.105</v>
      </c>
      <c r="L12" s="11">
        <f>Optimistisch!L12</f>
        <v>0.125</v>
      </c>
      <c r="M12" s="11">
        <f>Optimistisch!M12</f>
        <v>0.1325</v>
      </c>
      <c r="N12" s="11">
        <f>Optimistisch!N12</f>
        <v>0.08</v>
      </c>
      <c r="O12" s="11">
        <f>Optimistisch!O12</f>
        <v>0.085</v>
      </c>
      <c r="P12" s="11">
        <f>Optimistisch!P12</f>
        <v>0.105</v>
      </c>
      <c r="Q12" s="11">
        <f>Optimistisch!Q12</f>
        <v>0.1375</v>
      </c>
      <c r="R12" s="11">
        <f>Optimistisch!R12</f>
        <v>0.11</v>
      </c>
    </row>
    <row r="13" ht="15.75" customHeight="1">
      <c r="B13" s="2" t="s">
        <v>8</v>
      </c>
      <c r="C13" s="7">
        <f>Optimistisch!C13</f>
        <v>0.229443</v>
      </c>
      <c r="D13" s="7">
        <f>Optimistisch!D13</f>
        <v>0.273628</v>
      </c>
      <c r="E13" s="7">
        <f>Optimistisch!E13</f>
        <v>0.452928</v>
      </c>
      <c r="F13" s="7">
        <f>Optimistisch!F13</f>
        <v>0.341</v>
      </c>
      <c r="G13" s="7">
        <f>Optimistisch!G13</f>
        <v>0.301</v>
      </c>
      <c r="H13" s="8">
        <f t="shared" ref="H13:R13" si="6">H10*H12</f>
        <v>0.2805099825</v>
      </c>
      <c r="I13" s="8">
        <f t="shared" si="6"/>
        <v>0.3201043915</v>
      </c>
      <c r="J13" s="8">
        <f t="shared" si="6"/>
        <v>0.3589633799</v>
      </c>
      <c r="K13" s="8">
        <f t="shared" si="6"/>
        <v>0.3474598558</v>
      </c>
      <c r="L13" s="8">
        <f t="shared" si="6"/>
        <v>0.4099199013</v>
      </c>
      <c r="M13" s="8">
        <f t="shared" si="6"/>
        <v>0.4306044595</v>
      </c>
      <c r="N13" s="8">
        <f t="shared" si="6"/>
        <v>0.2576477098</v>
      </c>
      <c r="O13" s="8">
        <f t="shared" si="6"/>
        <v>0.2712869355</v>
      </c>
      <c r="P13" s="8">
        <f t="shared" si="6"/>
        <v>0.3321030832</v>
      </c>
      <c r="Q13" s="8">
        <f t="shared" si="6"/>
        <v>0.4309828226</v>
      </c>
      <c r="R13" s="8">
        <f t="shared" si="6"/>
        <v>0.3516819832</v>
      </c>
    </row>
    <row r="14" ht="15.75" customHeight="1">
      <c r="A14" s="11">
        <f>Optimistisch!A14</f>
        <v>0.3</v>
      </c>
      <c r="B14" s="2" t="s">
        <v>9</v>
      </c>
      <c r="C14" s="7">
        <f>Optimistisch!C14</f>
        <v>0.163109</v>
      </c>
      <c r="D14" s="7">
        <f>Optimistisch!D14</f>
        <v>0.195133</v>
      </c>
      <c r="E14" s="7">
        <f>Optimistisch!E14</f>
        <v>0.342082</v>
      </c>
      <c r="F14" s="7">
        <f>Optimistisch!F14</f>
        <v>0.249</v>
      </c>
      <c r="G14" s="7">
        <f>Optimistisch!G14</f>
        <v>0.175</v>
      </c>
      <c r="H14" s="8">
        <f t="shared" ref="H14:R14" si="7">H13*(1-$A$14)</f>
        <v>0.1963569878</v>
      </c>
      <c r="I14" s="8">
        <f t="shared" si="7"/>
        <v>0.2240730741</v>
      </c>
      <c r="J14" s="8">
        <f t="shared" si="7"/>
        <v>0.2512743659</v>
      </c>
      <c r="K14" s="8">
        <f t="shared" si="7"/>
        <v>0.2432218991</v>
      </c>
      <c r="L14" s="8">
        <f t="shared" si="7"/>
        <v>0.2869439309</v>
      </c>
      <c r="M14" s="8">
        <f t="shared" si="7"/>
        <v>0.3014231217</v>
      </c>
      <c r="N14" s="8">
        <f t="shared" si="7"/>
        <v>0.1803533969</v>
      </c>
      <c r="O14" s="8">
        <f t="shared" si="7"/>
        <v>0.1899008548</v>
      </c>
      <c r="P14" s="8">
        <f t="shared" si="7"/>
        <v>0.2324721582</v>
      </c>
      <c r="Q14" s="8">
        <f t="shared" si="7"/>
        <v>0.3016879758</v>
      </c>
      <c r="R14" s="8">
        <f t="shared" si="7"/>
        <v>0.2461773882</v>
      </c>
    </row>
    <row r="15" ht="15.75" customHeight="1">
      <c r="A15" s="11">
        <f>Optimistisch!A15</f>
        <v>1.005</v>
      </c>
      <c r="B15" s="2" t="s">
        <v>10</v>
      </c>
      <c r="H15" s="8">
        <f>C33</f>
        <v>0.059640298</v>
      </c>
      <c r="I15" s="8">
        <f t="shared" ref="I15:Q15" si="8">H15*$A$15</f>
        <v>0.05993849949</v>
      </c>
      <c r="J15" s="8">
        <f t="shared" si="8"/>
        <v>0.06023819199</v>
      </c>
      <c r="K15" s="8">
        <f t="shared" si="8"/>
        <v>0.06053938295</v>
      </c>
      <c r="L15" s="8">
        <f t="shared" si="8"/>
        <v>0.06084207986</v>
      </c>
      <c r="M15" s="8">
        <f t="shared" si="8"/>
        <v>0.06114629026</v>
      </c>
      <c r="N15" s="8">
        <f t="shared" si="8"/>
        <v>0.06145202171</v>
      </c>
      <c r="O15" s="8">
        <f t="shared" si="8"/>
        <v>0.06175928182</v>
      </c>
      <c r="P15" s="8">
        <f t="shared" si="8"/>
        <v>0.06206807823</v>
      </c>
      <c r="Q15" s="8">
        <f t="shared" si="8"/>
        <v>0.06237841862</v>
      </c>
      <c r="R15" s="6" t="s">
        <v>6</v>
      </c>
    </row>
    <row r="16" ht="15.75" customHeight="1">
      <c r="B16" s="2" t="s">
        <v>11</v>
      </c>
      <c r="H16" s="8">
        <f t="shared" ref="H16:Q16" si="9">H14/H15</f>
        <v>3.292354236</v>
      </c>
      <c r="I16" s="8">
        <f t="shared" si="9"/>
        <v>3.738383109</v>
      </c>
      <c r="J16" s="8">
        <f t="shared" si="9"/>
        <v>4.171346411</v>
      </c>
      <c r="K16" s="8">
        <f t="shared" si="9"/>
        <v>4.017581403</v>
      </c>
      <c r="L16" s="8">
        <f t="shared" si="9"/>
        <v>4.716208446</v>
      </c>
      <c r="M16" s="8">
        <f t="shared" si="9"/>
        <v>4.929540621</v>
      </c>
      <c r="N16" s="8">
        <f t="shared" si="9"/>
        <v>2.934865149</v>
      </c>
      <c r="O16" s="8">
        <f t="shared" si="9"/>
        <v>3.074855297</v>
      </c>
      <c r="P16" s="8">
        <f t="shared" si="9"/>
        <v>3.745438313</v>
      </c>
      <c r="Q16" s="8">
        <f t="shared" si="9"/>
        <v>4.836415902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0.1845436996</v>
      </c>
      <c r="I17" s="14">
        <f>I14/(1+$B$29)^2</f>
        <v>0.1979226038</v>
      </c>
      <c r="J17" s="14">
        <f>J14/(1+$B$29)^3</f>
        <v>0.2085963818</v>
      </c>
      <c r="K17" s="14">
        <f>K14/(1+$B$29)^4</f>
        <v>0.1897641293</v>
      </c>
      <c r="L17" s="14">
        <f>L14/(1+$B$29)^5</f>
        <v>0.2104075659</v>
      </c>
      <c r="M17" s="14">
        <f>M14/(1+$B$29)^6</f>
        <v>0.2077273754</v>
      </c>
      <c r="N17" s="14">
        <f>N14/(1+$B$29)^7</f>
        <v>0.1168138556</v>
      </c>
      <c r="O17" s="14">
        <f>O14/(1+$B$29)^8</f>
        <v>0.1155978652</v>
      </c>
      <c r="P17" s="14">
        <f>P14/(1+$B$29)^9</f>
        <v>0.1329984879</v>
      </c>
      <c r="Q17" s="14">
        <f>Q14/(1+$B$29)^10</f>
        <v>0.1622133595</v>
      </c>
      <c r="R17" s="15">
        <f>(R14/(B29-R11))/(1+B29)^10</f>
        <v>3.00739776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0.02395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0.0400635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0.87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0.0640135</v>
      </c>
    </row>
    <row r="30" ht="15.75" customHeight="1"/>
    <row r="31" ht="15.75" customHeight="1">
      <c r="A31" s="3"/>
      <c r="B31" s="3"/>
      <c r="C31" s="24">
        <f>Optimistisch!C31</f>
        <v>45338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4.77122384</v>
      </c>
      <c r="D32" s="8">
        <f>SUM(H17:R17)</f>
        <v>4.733983084</v>
      </c>
    </row>
    <row r="33" ht="15.75" customHeight="1">
      <c r="A33" s="5"/>
      <c r="B33" s="5" t="s">
        <v>22</v>
      </c>
      <c r="C33" s="8">
        <f>Optimistisch!C33</f>
        <v>0.059640298</v>
      </c>
      <c r="D33" s="8">
        <f>C33</f>
        <v>0.059640298</v>
      </c>
    </row>
    <row r="34" ht="15.75" customHeight="1">
      <c r="A34" s="5"/>
      <c r="B34" s="5" t="s">
        <v>23</v>
      </c>
      <c r="C34" s="8">
        <f>Optimistisch!C34</f>
        <v>80</v>
      </c>
      <c r="D34" s="8">
        <f>D32/D33</f>
        <v>79.3755773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0.007866685416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42.0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203.1294679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19.72849444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219.8986882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1.748733602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0.1064027974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Xano Industri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2019</v>
      </c>
      <c r="D9" s="2">
        <f t="shared" ref="D9:M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R9" s="9"/>
    </row>
    <row r="10" ht="15.75" customHeight="1">
      <c r="B10" s="2" t="s">
        <v>4</v>
      </c>
      <c r="C10" s="7">
        <f>Optimistisch!C10</f>
        <v>2.128023</v>
      </c>
      <c r="D10" s="7">
        <f>Optimistisch!D10</f>
        <v>2.239432</v>
      </c>
      <c r="E10" s="7">
        <f>Optimistisch!E10</f>
        <v>3.151375</v>
      </c>
      <c r="F10" s="7">
        <f>Optimistisch!F10</f>
        <v>3.509</v>
      </c>
      <c r="G10" s="7">
        <f>Optimistisch!G10</f>
        <v>3.431</v>
      </c>
      <c r="H10" s="8">
        <f>Optimistisch!H10</f>
        <v>3.619705</v>
      </c>
      <c r="I10" s="8">
        <f>Optimistisch!I10</f>
        <v>4.01787255</v>
      </c>
      <c r="J10" s="8">
        <f>Optimistisch!J10</f>
        <v>4.359391717</v>
      </c>
      <c r="K10" s="8">
        <f>(Optimistisch!K10+Pessimistisch!K10)/2</f>
        <v>4.631853699</v>
      </c>
      <c r="L10" s="8">
        <f>(Optimistisch!L10+Pessimistisch!L10)/2</f>
        <v>4.77195365</v>
      </c>
      <c r="M10" s="8">
        <f>(Optimistisch!M10+Pessimistisch!M10)/2</f>
        <v>4.955307214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0.1027502992</v>
      </c>
      <c r="D11" s="10">
        <f t="shared" si="2"/>
        <v>0.1473248574</v>
      </c>
      <c r="E11" s="10">
        <f t="shared" si="2"/>
        <v>0.08461734957</v>
      </c>
      <c r="F11" s="10">
        <f t="shared" si="2"/>
        <v>-0.002753491023</v>
      </c>
      <c r="G11" s="10">
        <f t="shared" si="2"/>
        <v>0.1253278927</v>
      </c>
      <c r="H11" s="11">
        <v>0.045</v>
      </c>
      <c r="I11" s="11">
        <v>0.0925</v>
      </c>
      <c r="J11" s="11">
        <v>0.13</v>
      </c>
      <c r="K11" s="11">
        <v>0.105</v>
      </c>
      <c r="L11" s="11">
        <v>0.12</v>
      </c>
      <c r="M11" s="11">
        <v>0.11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f>(307.661-89.006)/1000</f>
        <v>0.218655</v>
      </c>
      <c r="D12" s="7">
        <f>0.40209-0.072166</f>
        <v>0.329924</v>
      </c>
      <c r="E12" s="7">
        <f>(353.17-86.509)/1000</f>
        <v>0.266661</v>
      </c>
      <c r="F12" s="7">
        <f>(128.433-138.095)/1000</f>
        <v>-0.009662</v>
      </c>
      <c r="G12" s="7">
        <f>0.519-0.089</f>
        <v>0.43</v>
      </c>
      <c r="H12" s="8">
        <f t="shared" ref="H12:M12" si="3">H10*H11</f>
        <v>0.162886725</v>
      </c>
      <c r="I12" s="8">
        <f t="shared" si="3"/>
        <v>0.3716532109</v>
      </c>
      <c r="J12" s="8">
        <f t="shared" si="3"/>
        <v>0.5667209232</v>
      </c>
      <c r="K12" s="8">
        <f t="shared" si="3"/>
        <v>0.4863446384</v>
      </c>
      <c r="L12" s="8">
        <f t="shared" si="3"/>
        <v>0.572634438</v>
      </c>
      <c r="M12" s="8">
        <f t="shared" si="3"/>
        <v>0.5450837935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0.1537190432</v>
      </c>
      <c r="I13" s="14">
        <f>I12/(1+$B$37)^2</f>
        <v>0.3309953185</v>
      </c>
      <c r="J13" s="14">
        <f>J12/(1+$B$37)^3</f>
        <v>0.4763160218</v>
      </c>
      <c r="K13" s="14">
        <f>K12/(1+$B$37)^4</f>
        <v>0.3857554376</v>
      </c>
      <c r="L13" s="14">
        <f>L12/(1+$B$37)^5</f>
        <v>0.4286347411</v>
      </c>
      <c r="M13" s="15">
        <f>(M12/(B37-B39))/(1+B37)^5</f>
        <v>10.29314799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0.02395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0.0400635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0.87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0.0640135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4.77122384</v>
      </c>
    </row>
    <row r="30" ht="15.75" customHeight="1">
      <c r="A30" s="30"/>
      <c r="B30" s="18"/>
    </row>
    <row r="31" ht="15.75" customHeight="1">
      <c r="A31" s="30" t="s">
        <v>36</v>
      </c>
      <c r="B31" s="21">
        <v>0.806</v>
      </c>
    </row>
    <row r="32" ht="15.75" customHeight="1">
      <c r="A32" s="30"/>
      <c r="B32" s="18"/>
    </row>
    <row r="33" ht="15.75" customHeight="1">
      <c r="A33" s="30" t="s">
        <v>37</v>
      </c>
      <c r="B33" s="20">
        <v>0.0425</v>
      </c>
    </row>
    <row r="34" ht="15.75" customHeight="1">
      <c r="A34" s="30"/>
      <c r="B34" s="18"/>
    </row>
    <row r="35" ht="15.75" customHeight="1">
      <c r="A35" s="30" t="s">
        <v>38</v>
      </c>
      <c r="B35" s="20">
        <v>0.206</v>
      </c>
    </row>
    <row r="36" ht="15.75" customHeight="1">
      <c r="A36" s="30"/>
      <c r="B36" s="18"/>
    </row>
    <row r="37" ht="15.75" customHeight="1">
      <c r="A37" s="34" t="s">
        <v>39</v>
      </c>
      <c r="B37" s="23">
        <f>B25*(B29/(B29+B31))+B33*(B31/(B29+B31))*(1-B35)</f>
        <v>0.05963920704</v>
      </c>
    </row>
    <row r="38" ht="15.75" customHeight="1">
      <c r="B38" s="10"/>
    </row>
    <row r="39" ht="15.75" customHeight="1">
      <c r="A39" s="2" t="s">
        <v>40</v>
      </c>
      <c r="B39" s="10">
        <v>0.02</v>
      </c>
    </row>
    <row r="40" ht="15.75" customHeight="1"/>
    <row r="41" ht="15.75" customHeight="1">
      <c r="A41" s="3"/>
      <c r="B41" s="3"/>
      <c r="C41" s="24">
        <f>Optimistisch!C31</f>
        <v>45338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4.77122384</v>
      </c>
      <c r="D42" s="8">
        <f>SUM(H13:M13)-B31</f>
        <v>11.26256855</v>
      </c>
    </row>
    <row r="43" ht="15.75" customHeight="1">
      <c r="A43" s="5"/>
      <c r="B43" s="5" t="s">
        <v>22</v>
      </c>
      <c r="C43" s="8">
        <f>Optimistisch!C33</f>
        <v>0.059640298</v>
      </c>
      <c r="D43" s="8">
        <f>C43</f>
        <v>0.059640298</v>
      </c>
    </row>
    <row r="44" ht="15.75" customHeight="1">
      <c r="A44" s="5"/>
      <c r="B44" s="5" t="s">
        <v>23</v>
      </c>
      <c r="C44" s="8">
        <f>Optimistisch!C34</f>
        <v>80</v>
      </c>
      <c r="D44" s="8">
        <f>D42/D43</f>
        <v>188.8415874</v>
      </c>
    </row>
    <row r="45" ht="15.75" customHeight="1">
      <c r="A45" s="5"/>
      <c r="B45" s="5" t="s">
        <v>24</v>
      </c>
      <c r="C45" s="5"/>
      <c r="D45" s="11">
        <f>IF(C44/D44-1&gt;0,0,C44/D44-1)*-1</f>
        <v>0.5763645017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