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</sheets>
  <definedNames/>
  <calcPr/>
  <extLst>
    <ext uri="GoogleSheetsCustomDataVersion2">
      <go:sheetsCustomData xmlns:go="http://customooxmlschemas.google.com/" r:id="rId6" roundtripDataChecksum="4I+/KvPaFOh2oa/YzhimI5EWJMNbIAxkvn3i51u0zFg="/>
    </ext>
  </extLst>
</workbook>
</file>

<file path=xl/sharedStrings.xml><?xml version="1.0" encoding="utf-8"?>
<sst xmlns="http://schemas.openxmlformats.org/spreadsheetml/2006/main" count="63" uniqueCount="31">
  <si>
    <t>Discounted Net-Profit Modell</t>
  </si>
  <si>
    <t>Annahmen für BKW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</si>
  <si>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</si>
  <si>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</si>
  <si>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</si>
  <si>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</si>
  <si>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</si>
  <si>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</si>
  <si>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</si>
  <si>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</si>
  <si>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</si>
  <si>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</si>
  <si>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</si>
  <si>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</si>
  <si>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</si>
  <si>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</si>
  <si>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</si>
  <si>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</si>
  <si>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</si>
  <si>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</si>
  <si>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</si>
  <si>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</si>
  <si>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 xml:space="preserve"> 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</si>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</sst>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2018.0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v>2.5255</v>
      </c>
      <c r="D10" s="7">
        <v>2.7108</v>
      </c>
      <c r="E10" s="7">
        <v>2.9357</v>
      </c>
      <c r="F10" s="7">
        <v>3.38</v>
      </c>
      <c r="G10" s="7">
        <v>5.0645</v>
      </c>
      <c r="H10" s="8">
        <v>4.70798</v>
      </c>
      <c r="I10" s="8">
        <v>4.79083</v>
      </c>
      <c r="J10" s="8">
        <v>4.96899</v>
      </c>
      <c r="K10" s="8">
        <f t="shared" ref="K10:R10" si="2">J10*(1+K11)</f>
        <v>5.19259455</v>
      </c>
      <c r="L10" s="8">
        <f t="shared" si="2"/>
        <v>5.400298332</v>
      </c>
      <c r="M10" s="8">
        <f t="shared" si="2"/>
        <v>5.616310265</v>
      </c>
      <c r="N10" s="8">
        <f t="shared" si="2"/>
        <v>5.812881125</v>
      </c>
      <c r="O10" s="8">
        <f t="shared" si="2"/>
        <v>6.016331964</v>
      </c>
      <c r="P10" s="8">
        <f t="shared" si="2"/>
        <v>6.196821923</v>
      </c>
      <c r="Q10" s="8">
        <f t="shared" si="2"/>
        <v>6.351742471</v>
      </c>
      <c r="R10" s="8">
        <f t="shared" si="2"/>
        <v>6.47877732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0.07337160958</v>
      </c>
      <c r="E11" s="10">
        <f t="shared" si="3"/>
        <v>0.08296443854</v>
      </c>
      <c r="F11" s="10">
        <f t="shared" si="3"/>
        <v>0.1513438022</v>
      </c>
      <c r="G11" s="10">
        <f t="shared" si="3"/>
        <v>0.4983727811</v>
      </c>
      <c r="H11" s="11">
        <f t="shared" si="3"/>
        <v>-0.07039589298</v>
      </c>
      <c r="I11" s="11">
        <f t="shared" si="3"/>
        <v>0.01759778079</v>
      </c>
      <c r="J11" s="11">
        <f t="shared" si="3"/>
        <v>0.03718771069</v>
      </c>
      <c r="K11" s="11">
        <v>0.045</v>
      </c>
      <c r="L11" s="11">
        <v>0.04</v>
      </c>
      <c r="M11" s="11">
        <v>0.04</v>
      </c>
      <c r="N11" s="11">
        <v>0.035</v>
      </c>
      <c r="O11" s="11">
        <v>0.035</v>
      </c>
      <c r="P11" s="11">
        <v>0.03</v>
      </c>
      <c r="Q11" s="11">
        <v>0.025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0.1649178381</v>
      </c>
      <c r="D12" s="10">
        <f t="shared" si="4"/>
        <v>0.1598790025</v>
      </c>
      <c r="E12" s="10">
        <f t="shared" si="4"/>
        <v>0.1616990837</v>
      </c>
      <c r="F12" s="10">
        <f t="shared" si="4"/>
        <v>0.1168343195</v>
      </c>
      <c r="G12" s="10">
        <f t="shared" si="4"/>
        <v>0.2050547932</v>
      </c>
      <c r="H12" s="11">
        <f t="shared" si="4"/>
        <v>0.1417</v>
      </c>
      <c r="I12" s="11">
        <f t="shared" si="4"/>
        <v>0.1256</v>
      </c>
      <c r="J12" s="11">
        <f t="shared" si="4"/>
        <v>0.1422</v>
      </c>
      <c r="K12" s="11">
        <v>0.145</v>
      </c>
      <c r="L12" s="11">
        <v>0.1475</v>
      </c>
      <c r="M12" s="11">
        <v>0.155</v>
      </c>
      <c r="N12" s="11">
        <v>0.15</v>
      </c>
      <c r="O12" s="11">
        <v>0.16</v>
      </c>
      <c r="P12" s="11">
        <v>0.1625</v>
      </c>
      <c r="Q12" s="11">
        <v>0.1675</v>
      </c>
      <c r="R12" s="11">
        <v>0.165</v>
      </c>
    </row>
    <row r="13" ht="15.75" customHeight="1">
      <c r="B13" s="2" t="s">
        <v>8</v>
      </c>
      <c r="C13" s="7">
        <v>0.4165</v>
      </c>
      <c r="D13" s="7">
        <v>0.4334</v>
      </c>
      <c r="E13" s="7">
        <v>0.4747</v>
      </c>
      <c r="F13" s="7">
        <v>0.3949</v>
      </c>
      <c r="G13" s="7">
        <v>1.0385</v>
      </c>
      <c r="H13" s="8">
        <v>0.6671207659999999</v>
      </c>
      <c r="I13" s="8">
        <v>0.6017282479999999</v>
      </c>
      <c r="J13" s="8">
        <v>0.7065903779999999</v>
      </c>
      <c r="K13" s="8">
        <f t="shared" ref="K13:R13" si="5">K10*K12</f>
        <v>0.7529262098</v>
      </c>
      <c r="L13" s="8">
        <f t="shared" si="5"/>
        <v>0.796544004</v>
      </c>
      <c r="M13" s="8">
        <f t="shared" si="5"/>
        <v>0.8705280911</v>
      </c>
      <c r="N13" s="8">
        <f t="shared" si="5"/>
        <v>0.8719321687</v>
      </c>
      <c r="O13" s="8">
        <f t="shared" si="5"/>
        <v>0.9626131142</v>
      </c>
      <c r="P13" s="8">
        <f t="shared" si="5"/>
        <v>1.006983562</v>
      </c>
      <c r="Q13" s="8">
        <f t="shared" si="5"/>
        <v>1.063916864</v>
      </c>
      <c r="R13" s="8">
        <f t="shared" si="5"/>
        <v>1.068998258</v>
      </c>
    </row>
    <row r="14" ht="15.75" customHeight="1">
      <c r="A14" s="11">
        <v>0.2</v>
      </c>
      <c r="B14" s="2" t="s">
        <v>9</v>
      </c>
      <c r="C14" s="7">
        <v>0.1864</v>
      </c>
      <c r="D14" s="7">
        <v>0.3912</v>
      </c>
      <c r="E14" s="7">
        <v>0.3617</v>
      </c>
      <c r="F14" s="7">
        <v>0.3046</v>
      </c>
      <c r="G14" s="7">
        <v>0.5502</v>
      </c>
      <c r="H14" s="8">
        <v>0.467973212</v>
      </c>
      <c r="I14" s="8">
        <v>0.381350068</v>
      </c>
      <c r="J14" s="8">
        <v>0.424351746</v>
      </c>
      <c r="K14" s="8">
        <f t="shared" ref="K14:R14" si="6">K13*(1-$A$14)</f>
        <v>0.6023409678</v>
      </c>
      <c r="L14" s="8">
        <f t="shared" si="6"/>
        <v>0.6372352032</v>
      </c>
      <c r="M14" s="8">
        <f t="shared" si="6"/>
        <v>0.6964224729</v>
      </c>
      <c r="N14" s="8">
        <f t="shared" si="6"/>
        <v>0.6975457349</v>
      </c>
      <c r="O14" s="8">
        <f t="shared" si="6"/>
        <v>0.7700904914</v>
      </c>
      <c r="P14" s="8">
        <f t="shared" si="6"/>
        <v>0.80558685</v>
      </c>
      <c r="Q14" s="8">
        <f t="shared" si="6"/>
        <v>0.8511334911</v>
      </c>
      <c r="R14" s="8">
        <f t="shared" si="6"/>
        <v>0.8551986063</v>
      </c>
    </row>
    <row r="15" ht="15.75" customHeight="1">
      <c r="A15" s="11">
        <v>1.0</v>
      </c>
      <c r="B15" s="2" t="s">
        <v>10</v>
      </c>
      <c r="H15" s="8">
        <f>C33</f>
        <v>0.0528</v>
      </c>
      <c r="I15" s="8">
        <f t="shared" ref="I15:Q15" si="7">H15*$A$15</f>
        <v>0.0528</v>
      </c>
      <c r="J15" s="8">
        <f t="shared" si="7"/>
        <v>0.0528</v>
      </c>
      <c r="K15" s="8">
        <f t="shared" si="7"/>
        <v>0.0528</v>
      </c>
      <c r="L15" s="8">
        <f t="shared" si="7"/>
        <v>0.0528</v>
      </c>
      <c r="M15" s="8">
        <f t="shared" si="7"/>
        <v>0.0528</v>
      </c>
      <c r="N15" s="8">
        <f t="shared" si="7"/>
        <v>0.0528</v>
      </c>
      <c r="O15" s="8">
        <f t="shared" si="7"/>
        <v>0.0528</v>
      </c>
      <c r="P15" s="8">
        <f t="shared" si="7"/>
        <v>0.0528</v>
      </c>
      <c r="Q15" s="8">
        <f t="shared" si="7"/>
        <v>0.0528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8.863129015</v>
      </c>
      <c r="I16" s="8">
        <f t="shared" si="8"/>
        <v>7.222539167</v>
      </c>
      <c r="J16" s="8">
        <f t="shared" si="8"/>
        <v>8.036964886</v>
      </c>
      <c r="K16" s="8">
        <f t="shared" si="8"/>
        <v>11.40797288</v>
      </c>
      <c r="L16" s="8">
        <f t="shared" si="8"/>
        <v>12.06884855</v>
      </c>
      <c r="M16" s="8">
        <f t="shared" si="8"/>
        <v>13.18981956</v>
      </c>
      <c r="N16" s="8">
        <f t="shared" si="8"/>
        <v>13.21109346</v>
      </c>
      <c r="O16" s="8">
        <f t="shared" si="8"/>
        <v>14.58504719</v>
      </c>
      <c r="P16" s="8">
        <f t="shared" si="8"/>
        <v>15.2573267</v>
      </c>
      <c r="Q16" s="8">
        <f t="shared" si="8"/>
        <v>16.11995248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0.4538926011</v>
      </c>
      <c r="I17" s="14">
        <f>I14/(1+$B$29)^2</f>
        <v>0.3587468097</v>
      </c>
      <c r="J17" s="14">
        <f>J14/(1+$B$29)^3</f>
        <v>0.3871883867</v>
      </c>
      <c r="K17" s="14">
        <f>K14/(1+$B$29)^4</f>
        <v>0.5330535517</v>
      </c>
      <c r="L17" s="14">
        <f>L14/(1+$B$29)^5</f>
        <v>0.5469659717</v>
      </c>
      <c r="M17" s="14">
        <f>M14/(1+$B$29)^6</f>
        <v>0.5797829443</v>
      </c>
      <c r="N17" s="14">
        <f>N14/(1+$B$29)^7</f>
        <v>0.5632451436</v>
      </c>
      <c r="O17" s="14">
        <f>O14/(1+$B$29)^8</f>
        <v>0.6031129295</v>
      </c>
      <c r="P17" s="14">
        <f>P14/(1+$B$29)^9</f>
        <v>0.6119294518</v>
      </c>
      <c r="Q17" s="14">
        <f>Q14/(1+$B$29)^10</f>
        <v>0.6270739755</v>
      </c>
      <c r="R17" s="15">
        <f>(R14/(B29-R11))/(1+B29)^10</f>
        <v>57.16518528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0.00813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0.0228919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0.37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0.0310219</v>
      </c>
    </row>
    <row r="30" ht="15.75" customHeight="1"/>
    <row r="31" ht="15.75" customHeight="1">
      <c r="A31" s="3"/>
      <c r="B31" s="3"/>
      <c r="C31" s="24">
        <v>45352.0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6.60528</v>
      </c>
      <c r="D32" s="8">
        <f>SUM(H17:R17)</f>
        <v>62.43017705</v>
      </c>
      <c r="H32" s="2" t="s">
        <v>22</v>
      </c>
    </row>
    <row r="33" ht="15.75" customHeight="1">
      <c r="A33" s="5"/>
      <c r="B33" s="5" t="s">
        <v>23</v>
      </c>
      <c r="C33" s="8">
        <v>0.0528</v>
      </c>
      <c r="D33" s="8">
        <f>C33</f>
        <v>0.0528</v>
      </c>
    </row>
    <row r="34" ht="15.75" customHeight="1">
      <c r="A34" s="5"/>
      <c r="B34" s="5" t="s">
        <v>24</v>
      </c>
      <c r="C34" s="26">
        <v>125.1</v>
      </c>
      <c r="D34" s="26">
        <v>11.06</v>
      </c>
    </row>
    <row r="35" ht="15.75" customHeight="1">
      <c r="A35" s="5"/>
      <c r="B35" s="5" t="s">
        <v>25</v>
      </c>
      <c r="C35" s="5"/>
      <c r="D35" s="11">
        <f>IF(C34/D34-1&gt;0,0,C34/D34-1)*-1</f>
        <v>0</v>
      </c>
    </row>
    <row r="36" ht="15.75" customHeight="1">
      <c r="A36" s="5"/>
      <c r="B36" s="5" t="s">
        <v>26</v>
      </c>
      <c r="C36" s="5"/>
      <c r="D36" s="11">
        <f>IF(C34/D34-1&lt;0,0,C34/D34-1)</f>
        <v>10.31103074</v>
      </c>
    </row>
    <row r="37" ht="15.75" customHeight="1">
      <c r="A37" s="27"/>
      <c r="B37" s="27"/>
      <c r="C37" s="27"/>
      <c r="D37" s="27"/>
    </row>
    <row r="38" ht="15.75" customHeight="1">
      <c r="A38" s="28" t="s">
        <v>27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19.0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306.2790972</v>
      </c>
    </row>
    <row r="43" ht="15.75" customHeight="1">
      <c r="A43" s="30"/>
      <c r="D43" s="18"/>
    </row>
    <row r="44" ht="15.75" customHeight="1">
      <c r="A44" s="30" t="s">
        <v>28</v>
      </c>
      <c r="D44" s="20">
        <v>0.5</v>
      </c>
    </row>
    <row r="45" ht="15.75" customHeight="1">
      <c r="A45" s="30"/>
      <c r="D45" s="18"/>
    </row>
    <row r="46" ht="15.75" customHeight="1">
      <c r="A46" s="30" t="s">
        <v>29</v>
      </c>
      <c r="D46" s="21">
        <f>D44*SUM(H16:Q16)</f>
        <v>59.98134694</v>
      </c>
    </row>
    <row r="47" ht="15.75" customHeight="1">
      <c r="A47" s="30"/>
      <c r="D47" s="18"/>
    </row>
    <row r="48" ht="15.75" customHeight="1">
      <c r="A48" s="30" t="s">
        <v>30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357.2632421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1.85582128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0.1106394678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BKW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2.5255</v>
      </c>
      <c r="D10" s="7">
        <f>Optimistisch!D10</f>
        <v>2.7108</v>
      </c>
      <c r="E10" s="7">
        <f>Optimistisch!E10</f>
        <v>2.9357</v>
      </c>
      <c r="F10" s="7">
        <f>Optimistisch!F10</f>
        <v>3.38</v>
      </c>
      <c r="G10" s="7">
        <f>Optimistisch!G10</f>
        <v>5.0645</v>
      </c>
      <c r="H10" s="8">
        <f>Optimistisch!H10</f>
        <v>4.70798</v>
      </c>
      <c r="I10" s="8">
        <f>Optimistisch!I10</f>
        <v>4.79083</v>
      </c>
      <c r="J10" s="8">
        <f>Optimistisch!J10</f>
        <v>4.96899</v>
      </c>
      <c r="K10" s="8">
        <f t="shared" ref="K10:R10" si="2">J10*(1+K11)</f>
        <v>5.14290465</v>
      </c>
      <c r="L10" s="8">
        <f t="shared" si="2"/>
        <v>5.310049051</v>
      </c>
      <c r="M10" s="8">
        <f t="shared" si="2"/>
        <v>5.469350523</v>
      </c>
      <c r="N10" s="8">
        <f t="shared" si="2"/>
        <v>5.619757662</v>
      </c>
      <c r="O10" s="8">
        <f t="shared" si="2"/>
        <v>5.760251604</v>
      </c>
      <c r="P10" s="8">
        <f t="shared" si="2"/>
        <v>5.875456636</v>
      </c>
      <c r="Q10" s="8">
        <f t="shared" si="2"/>
        <v>5.992965768</v>
      </c>
      <c r="R10" s="8">
        <f t="shared" si="2"/>
        <v>6.082860255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0.07337160958</v>
      </c>
      <c r="E11" s="10">
        <f t="shared" si="3"/>
        <v>0.08296443854</v>
      </c>
      <c r="F11" s="10">
        <f t="shared" si="3"/>
        <v>0.1513438022</v>
      </c>
      <c r="G11" s="10">
        <f t="shared" si="3"/>
        <v>0.4983727811</v>
      </c>
      <c r="H11" s="11">
        <f t="shared" si="3"/>
        <v>-0.07039589298</v>
      </c>
      <c r="I11" s="11">
        <f t="shared" si="3"/>
        <v>0.01759778079</v>
      </c>
      <c r="J11" s="11">
        <f t="shared" si="3"/>
        <v>0.03718771069</v>
      </c>
      <c r="K11" s="11">
        <v>0.035</v>
      </c>
      <c r="L11" s="11">
        <v>0.0325</v>
      </c>
      <c r="M11" s="11">
        <v>0.03</v>
      </c>
      <c r="N11" s="11">
        <v>0.0275</v>
      </c>
      <c r="O11" s="11">
        <v>0.025</v>
      </c>
      <c r="P11" s="11">
        <v>0.02</v>
      </c>
      <c r="Q11" s="11">
        <v>0.02</v>
      </c>
      <c r="R11" s="11">
        <v>0.015</v>
      </c>
    </row>
    <row r="12" ht="15.75" customHeight="1">
      <c r="B12" s="2" t="s">
        <v>7</v>
      </c>
      <c r="C12" s="10">
        <f t="shared" ref="C12:J12" si="4">C13/C10</f>
        <v>0.1649178381</v>
      </c>
      <c r="D12" s="10">
        <f t="shared" si="4"/>
        <v>0.1598790025</v>
      </c>
      <c r="E12" s="10">
        <f t="shared" si="4"/>
        <v>0.1616990837</v>
      </c>
      <c r="F12" s="10">
        <f t="shared" si="4"/>
        <v>0.1168343195</v>
      </c>
      <c r="G12" s="10">
        <f t="shared" si="4"/>
        <v>0.2050547932</v>
      </c>
      <c r="H12" s="11">
        <f t="shared" si="4"/>
        <v>0.1417</v>
      </c>
      <c r="I12" s="11">
        <f t="shared" si="4"/>
        <v>0.1256</v>
      </c>
      <c r="J12" s="11">
        <f t="shared" si="4"/>
        <v>0.1422</v>
      </c>
      <c r="K12" s="11">
        <v>0.145</v>
      </c>
      <c r="L12" s="11">
        <v>0.14</v>
      </c>
      <c r="M12" s="11">
        <v>0.1375</v>
      </c>
      <c r="N12" s="11">
        <v>0.1375</v>
      </c>
      <c r="O12" s="11">
        <v>0.115</v>
      </c>
      <c r="P12" s="11">
        <v>0.1375</v>
      </c>
      <c r="Q12" s="11">
        <v>0.1325</v>
      </c>
      <c r="R12" s="11">
        <v>0.13</v>
      </c>
    </row>
    <row r="13" ht="15.75" customHeight="1">
      <c r="B13" s="2" t="s">
        <v>8</v>
      </c>
      <c r="C13" s="7">
        <f>Optimistisch!C13</f>
        <v>0.4165</v>
      </c>
      <c r="D13" s="7">
        <f>Optimistisch!D13</f>
        <v>0.4334</v>
      </c>
      <c r="E13" s="7">
        <f>Optimistisch!E13</f>
        <v>0.4747</v>
      </c>
      <c r="F13" s="7">
        <f>Optimistisch!F13</f>
        <v>0.3949</v>
      </c>
      <c r="G13" s="7">
        <f>Optimistisch!G13</f>
        <v>1.0385</v>
      </c>
      <c r="H13" s="8">
        <f>Optimistisch!H13</f>
        <v>0.667120766</v>
      </c>
      <c r="I13" s="8">
        <f>Optimistisch!I13</f>
        <v>0.601728248</v>
      </c>
      <c r="J13" s="8">
        <f>Optimistisch!J13</f>
        <v>0.706590378</v>
      </c>
      <c r="K13" s="8">
        <f t="shared" ref="K13:R13" si="5">K10*K12</f>
        <v>0.7457211743</v>
      </c>
      <c r="L13" s="8">
        <f t="shared" si="5"/>
        <v>0.7434068672</v>
      </c>
      <c r="M13" s="8">
        <f t="shared" si="5"/>
        <v>0.7520356969</v>
      </c>
      <c r="N13" s="8">
        <f t="shared" si="5"/>
        <v>0.7727166785</v>
      </c>
      <c r="O13" s="8">
        <f t="shared" si="5"/>
        <v>0.6624289344</v>
      </c>
      <c r="P13" s="8">
        <f t="shared" si="5"/>
        <v>0.8078752874</v>
      </c>
      <c r="Q13" s="8">
        <f t="shared" si="5"/>
        <v>0.7940679643</v>
      </c>
      <c r="R13" s="8">
        <f t="shared" si="5"/>
        <v>0.7907718331</v>
      </c>
    </row>
    <row r="14" ht="15.75" customHeight="1">
      <c r="A14" s="11">
        <v>0.25</v>
      </c>
      <c r="B14" s="2" t="s">
        <v>9</v>
      </c>
      <c r="C14" s="7">
        <f>Optimistisch!C14</f>
        <v>0.1864</v>
      </c>
      <c r="D14" s="7">
        <f>Optimistisch!D14</f>
        <v>0.3912</v>
      </c>
      <c r="E14" s="7">
        <f>Optimistisch!E14</f>
        <v>0.3617</v>
      </c>
      <c r="F14" s="7">
        <f>Optimistisch!F14</f>
        <v>0.3046</v>
      </c>
      <c r="G14" s="7">
        <f>Optimistisch!G14</f>
        <v>0.5502</v>
      </c>
      <c r="H14" s="8">
        <f>Optimistisch!H14</f>
        <v>0.467973212</v>
      </c>
      <c r="I14" s="8">
        <f>Optimistisch!I14</f>
        <v>0.381350068</v>
      </c>
      <c r="J14" s="8">
        <f>Optimistisch!J14</f>
        <v>0.424351746</v>
      </c>
      <c r="K14" s="8">
        <f t="shared" ref="K14:R14" si="6">K13*(1-$A$14)</f>
        <v>0.5592908807</v>
      </c>
      <c r="L14" s="8">
        <f t="shared" si="6"/>
        <v>0.5575551504</v>
      </c>
      <c r="M14" s="8">
        <f t="shared" si="6"/>
        <v>0.5640267726</v>
      </c>
      <c r="N14" s="8">
        <f t="shared" si="6"/>
        <v>0.5795375089</v>
      </c>
      <c r="O14" s="8">
        <f t="shared" si="6"/>
        <v>0.4968217008</v>
      </c>
      <c r="P14" s="8">
        <f t="shared" si="6"/>
        <v>0.6059064656</v>
      </c>
      <c r="Q14" s="8">
        <f t="shared" si="6"/>
        <v>0.5955509732</v>
      </c>
      <c r="R14" s="8">
        <f t="shared" si="6"/>
        <v>0.5930788749</v>
      </c>
    </row>
    <row r="15" ht="15.75" customHeight="1">
      <c r="A15" s="11">
        <v>1.0</v>
      </c>
      <c r="B15" s="2" t="s">
        <v>10</v>
      </c>
      <c r="H15" s="8">
        <f>C33</f>
        <v>0.0528</v>
      </c>
      <c r="I15" s="8">
        <f t="shared" ref="I15:Q15" si="7">H15*$A$15</f>
        <v>0.0528</v>
      </c>
      <c r="J15" s="8">
        <f t="shared" si="7"/>
        <v>0.0528</v>
      </c>
      <c r="K15" s="8">
        <f t="shared" si="7"/>
        <v>0.0528</v>
      </c>
      <c r="L15" s="8">
        <f t="shared" si="7"/>
        <v>0.0528</v>
      </c>
      <c r="M15" s="8">
        <f t="shared" si="7"/>
        <v>0.0528</v>
      </c>
      <c r="N15" s="8">
        <f t="shared" si="7"/>
        <v>0.0528</v>
      </c>
      <c r="O15" s="8">
        <f t="shared" si="7"/>
        <v>0.0528</v>
      </c>
      <c r="P15" s="8">
        <f t="shared" si="7"/>
        <v>0.0528</v>
      </c>
      <c r="Q15" s="8">
        <f t="shared" si="7"/>
        <v>0.0528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8.863129015</v>
      </c>
      <c r="I16" s="8">
        <f t="shared" si="8"/>
        <v>7.222539167</v>
      </c>
      <c r="J16" s="8">
        <f t="shared" si="8"/>
        <v>8.036964886</v>
      </c>
      <c r="K16" s="8">
        <f t="shared" si="8"/>
        <v>10.59263032</v>
      </c>
      <c r="L16" s="8">
        <f t="shared" si="8"/>
        <v>10.55975664</v>
      </c>
      <c r="M16" s="8">
        <f t="shared" si="8"/>
        <v>10.68232524</v>
      </c>
      <c r="N16" s="8">
        <f t="shared" si="8"/>
        <v>10.97608918</v>
      </c>
      <c r="O16" s="8">
        <f t="shared" si="8"/>
        <v>9.409501909</v>
      </c>
      <c r="P16" s="8">
        <f t="shared" si="8"/>
        <v>11.47550124</v>
      </c>
      <c r="Q16" s="8">
        <f t="shared" si="8"/>
        <v>11.27937449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0.4538926011</v>
      </c>
      <c r="I17" s="14">
        <f>I14/(1+$B$29)^2</f>
        <v>0.3587468097</v>
      </c>
      <c r="J17" s="14">
        <f>J14/(1+$B$29)^3</f>
        <v>0.3871883867</v>
      </c>
      <c r="K17" s="14">
        <f>K14/(1+$B$29)^4</f>
        <v>0.4949555257</v>
      </c>
      <c r="L17" s="14">
        <f>L14/(1+$B$29)^5</f>
        <v>0.4785732067</v>
      </c>
      <c r="M17" s="14">
        <f>M14/(1+$B$29)^6</f>
        <v>0.4695613879</v>
      </c>
      <c r="N17" s="14">
        <f>N14/(1+$B$29)^7</f>
        <v>0.4679573984</v>
      </c>
      <c r="O17" s="14">
        <f>O14/(1+$B$29)^8</f>
        <v>0.3890965994</v>
      </c>
      <c r="P17" s="14">
        <f>P14/(1+$B$29)^9</f>
        <v>0.4602508238</v>
      </c>
      <c r="Q17" s="14">
        <f>Q14/(1+$B$29)^10</f>
        <v>0.4387731423</v>
      </c>
      <c r="R17" s="15">
        <f>(R14/(B29-R11))/(1+B29)^10</f>
        <v>27.27215997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0.00813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0.0228919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0.37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0.0310219</v>
      </c>
    </row>
    <row r="30" ht="15.75" customHeight="1"/>
    <row r="31" ht="15.75" customHeight="1">
      <c r="A31" s="3"/>
      <c r="B31" s="3"/>
      <c r="C31" s="24">
        <f>Optimistisch!C31</f>
        <v>45352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6.60528</v>
      </c>
      <c r="D32" s="8">
        <f>SUM(H17:R17)</f>
        <v>31.67115585</v>
      </c>
    </row>
    <row r="33" ht="15.75" customHeight="1">
      <c r="A33" s="5"/>
      <c r="B33" s="5" t="s">
        <v>23</v>
      </c>
      <c r="C33" s="8">
        <f>Optimistisch!C33</f>
        <v>0.0528</v>
      </c>
      <c r="D33" s="8">
        <f>C33</f>
        <v>0.0528</v>
      </c>
    </row>
    <row r="34" ht="15.75" customHeight="1">
      <c r="A34" s="5"/>
      <c r="B34" s="5" t="s">
        <v>24</v>
      </c>
      <c r="C34" s="8">
        <f>Optimistisch!C34</f>
        <v>125.1</v>
      </c>
      <c r="D34" s="8">
        <f>D32/D33</f>
        <v>599.8324971</v>
      </c>
    </row>
    <row r="35" ht="15.75" customHeight="1">
      <c r="A35" s="5"/>
      <c r="B35" s="5" t="s">
        <v>25</v>
      </c>
      <c r="C35" s="5"/>
      <c r="D35" s="11">
        <f>IF(C34/D34-1&gt;0,0,C34/D34-1)*-1</f>
        <v>0.7914417765</v>
      </c>
    </row>
    <row r="36" ht="15.75" customHeight="1">
      <c r="A36" s="5"/>
      <c r="B36" s="5" t="s">
        <v>26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27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14.0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157.9112429</v>
      </c>
    </row>
    <row r="43" ht="15.75" customHeight="1">
      <c r="A43" s="30"/>
      <c r="D43" s="18"/>
    </row>
    <row r="44" ht="15.75" customHeight="1">
      <c r="A44" s="30" t="s">
        <v>28</v>
      </c>
      <c r="D44" s="20">
        <v>0.4</v>
      </c>
    </row>
    <row r="45" ht="15.75" customHeight="1">
      <c r="A45" s="30"/>
      <c r="D45" s="18"/>
    </row>
    <row r="46" ht="15.75" customHeight="1">
      <c r="A46" s="30" t="s">
        <v>29</v>
      </c>
      <c r="D46" s="21">
        <f>D44*SUM(H16:Q16)</f>
        <v>39.63912483</v>
      </c>
    </row>
    <row r="47" ht="15.75" customHeight="1">
      <c r="A47" s="30"/>
      <c r="D47" s="18"/>
    </row>
    <row r="48" ht="15.75" customHeight="1">
      <c r="A48" s="30" t="s">
        <v>30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191.604499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0.5316107035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0.04355378898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