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ptimistisch" sheetId="1" r:id="rId4"/>
    <sheet state="visible" name="Pessimistisch" sheetId="2" r:id="rId5"/>
  </sheets>
  <definedNames/>
  <calcPr/>
  <extLst>
    <ext uri="GoogleSheetsCustomDataVersion2">
      <go:sheetsCustomData xmlns:go="http://customooxmlschemas.google.com/" r:id="rId6" roundtripDataChecksum="4I+/KvPaFOh2oa/YzhimI5EWJMNbIAxkvn3i51u0zFg="/>
    </ext>
  </extLst>
</workbook>
</file>

<file path=xl/sharedStrings.xml><?xml version="1.0" encoding="utf-8"?>
<sst xmlns="http://schemas.openxmlformats.org/spreadsheetml/2006/main" count="63" uniqueCount="31">
  <si>
    <t>Discounted Net-Profit Modell</t>
  </si>
  <si>
    <t>Annahmen für BKW</t>
  </si>
  <si>
    <t>Alle Angaben in Mrd.</t>
  </si>
  <si>
    <t>Schätzungen »</t>
  </si>
  <si>
    <t>Umsatz</t>
  </si>
  <si>
    <t>Umsatzwachstum</t>
  </si>
  <si>
    <t>-</t>
  </si>
  <si>
    <t>EBIT Marge</t>
  </si>
  <si>
    <t>EBIT</t>
  </si>
  <si>
    <t>Gewinn (abzgl. Steuern, Zinsen)</t>
  </si>
  <si>
    <t>Anzahl an Aktien (abzgl. Aktienrückkäufe)</t>
  </si>
  <si>
    <t>Gewinn je Aktie</t>
  </si>
  <si>
    <t>Abgezinster Gewinn</t>
  </si>
  <si>
    <t>Berechnung der Eigenkapitalkosten:</t>
  </si>
  <si>
    <t>Risikoloser Basiszins:</t>
  </si>
  <si>
    <t>Risikoprämie:</t>
  </si>
  <si>
    <t>Marktrendite:</t>
  </si>
  <si>
    <t>Beta-Faktor:</t>
  </si>
  <si>
    <t>Eigenkapitalkosten:</t>
  </si>
  <si>
    <t>Fairer Wert</t>
  </si>
  <si>
    <t>Bewertung</t>
  </si>
  <si>
    <t>Marktkapitalisierung</t>
  </si>
  <si>
    <t xml:space="preserve"> </t>
  </si>
  <si>
    <t>Anzahl an Aktien</t>
  </si>
  <si>
    <t>Kurs je Aktie</t>
  </si>
  <si>
    <t>Unterbewertung</t>
  </si>
  <si>
    <t>Überbewertung</t>
  </si>
  <si>
    <t>Berechnung der Renditeerwartung:</t>
  </si>
  <si>
    <t>Durchschnittliche Ausschüttungsquote:</t>
  </si>
  <si>
    <t>Ausgeschüttete Gewinne:</t>
  </si>
  <si>
    <t>Quellensteuer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</si>
</sst>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2.0"/>
      <color theme="1"/>
      <name val="Calibri"/>
      <scheme val="minor"/>
    </font>
    <font>
      <b/>
      <sz val="20.0"/>
      <color theme="1"/>
      <name val="Calibri"/>
    </font>
    <font>
      <color theme="1"/>
      <name val="Calibri"/>
      <scheme val="minor"/>
    </font>
    <font>
      <sz val="12.0"/>
      <color theme="1"/>
      <name val="Calibri"/>
    </font>
    <font>
      <sz val="12.0"/>
      <color theme="0"/>
      <name val="Calibri"/>
    </font>
    <font>
      <u/>
      <sz val="12.0"/>
      <color theme="1"/>
      <name val="Calibri"/>
    </font>
    <font>
      <u/>
      <sz val="12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16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2" fontId="3" numFmtId="0" xfId="0" applyBorder="1" applyFill="1" applyFont="1"/>
    <xf borderId="1" fillId="2" fontId="4" numFmtId="0" xfId="0" applyBorder="1" applyFont="1"/>
    <xf borderId="1" fillId="3" fontId="3" numFmtId="0" xfId="0" applyBorder="1" applyFill="1" applyFont="1"/>
    <xf borderId="1" fillId="3" fontId="3" numFmtId="0" xfId="0" applyAlignment="1" applyBorder="1" applyFont="1">
      <alignment horizontal="right"/>
    </xf>
    <xf borderId="0" fillId="0" fontId="3" numFmtId="2" xfId="0" applyFont="1" applyNumberFormat="1"/>
    <xf borderId="1" fillId="3" fontId="3" numFmtId="2" xfId="0" applyBorder="1" applyFont="1" applyNumberFormat="1"/>
    <xf borderId="0" fillId="0" fontId="3" numFmtId="0" xfId="0" applyAlignment="1" applyFont="1">
      <alignment horizontal="right"/>
    </xf>
    <xf borderId="0" fillId="0" fontId="3" numFmtId="10" xfId="0" applyFont="1" applyNumberFormat="1"/>
    <xf borderId="1" fillId="3" fontId="3" numFmtId="10" xfId="0" applyBorder="1" applyFont="1" applyNumberFormat="1"/>
    <xf borderId="2" fillId="0" fontId="3" numFmtId="0" xfId="0" applyBorder="1" applyFont="1"/>
    <xf borderId="3" fillId="0" fontId="3" numFmtId="0" xfId="0" applyBorder="1" applyFont="1"/>
    <xf borderId="4" fillId="4" fontId="3" numFmtId="2" xfId="0" applyBorder="1" applyFill="1" applyFont="1" applyNumberFormat="1"/>
    <xf borderId="5" fillId="4" fontId="3" numFmtId="2" xfId="0" applyBorder="1" applyFont="1" applyNumberFormat="1"/>
    <xf borderId="6" fillId="0" fontId="5" numFmtId="0" xfId="0" applyBorder="1" applyFont="1"/>
    <xf borderId="7" fillId="0" fontId="3" numFmtId="0" xfId="0" applyBorder="1" applyFont="1"/>
    <xf borderId="8" fillId="0" fontId="3" numFmtId="0" xfId="0" applyBorder="1" applyFont="1"/>
    <xf borderId="8" fillId="0" fontId="3" numFmtId="10" xfId="0" applyAlignment="1" applyBorder="1" applyFont="1" applyNumberFormat="1">
      <alignment readingOrder="0"/>
    </xf>
    <xf borderId="8" fillId="0" fontId="3" numFmtId="10" xfId="0" applyBorder="1" applyFont="1" applyNumberFormat="1"/>
    <xf borderId="8" fillId="0" fontId="3" numFmtId="2" xfId="0" applyBorder="1" applyFont="1" applyNumberFormat="1"/>
    <xf borderId="9" fillId="0" fontId="3" numFmtId="0" xfId="0" applyBorder="1" applyFont="1"/>
    <xf borderId="10" fillId="0" fontId="3" numFmtId="10" xfId="0" applyBorder="1" applyFont="1" applyNumberFormat="1"/>
    <xf borderId="1" fillId="2" fontId="4" numFmtId="14" xfId="0" applyAlignment="1" applyBorder="1" applyFont="1" applyNumberFormat="1">
      <alignment horizontal="right"/>
    </xf>
    <xf borderId="1" fillId="2" fontId="4" numFmtId="0" xfId="0" applyAlignment="1" applyBorder="1" applyFont="1">
      <alignment horizontal="right"/>
    </xf>
    <xf borderId="1" fillId="3" fontId="3" numFmtId="2" xfId="0" applyAlignment="1" applyBorder="1" applyFont="1" applyNumberFormat="1">
      <alignment readingOrder="0"/>
    </xf>
    <xf borderId="1" fillId="4" fontId="3" numFmtId="0" xfId="0" applyBorder="1" applyFont="1"/>
    <xf borderId="11" fillId="0" fontId="6" numFmtId="0" xfId="0" applyBorder="1" applyFont="1"/>
    <xf borderId="6" fillId="0" fontId="3" numFmtId="0" xfId="0" applyBorder="1" applyFont="1"/>
    <xf borderId="12" fillId="0" fontId="3" numFmtId="0" xfId="0" applyBorder="1" applyFont="1"/>
    <xf borderId="13" fillId="3" fontId="3" numFmtId="0" xfId="0" applyBorder="1" applyFont="1"/>
    <xf borderId="14" fillId="3" fontId="3" numFmtId="0" xfId="0" applyBorder="1" applyFont="1"/>
    <xf borderId="15" fillId="3" fontId="3" numFmtId="10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/>
    <row r="2" ht="15.75" customHeight="1">
      <c r="B2" s="1" t="s">
        <v>0</v>
      </c>
    </row>
    <row r="3" ht="15.75" customHeight="1"/>
    <row r="4" ht="15.75" customHeight="1">
      <c r="B4" s="2" t="s">
        <v>1</v>
      </c>
    </row>
    <row r="5" ht="15.75" customHeight="1"/>
    <row r="6" ht="15.75" customHeight="1">
      <c r="B6" s="2" t="s">
        <v>2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2">
        <v>2018.0</v>
      </c>
      <c r="D9" s="2">
        <f t="shared" ref="D9:Q9" si="1">C9+1</f>
        <v>2019</v>
      </c>
      <c r="E9" s="2">
        <f t="shared" si="1"/>
        <v>2020</v>
      </c>
      <c r="F9" s="2">
        <f t="shared" si="1"/>
        <v>2021</v>
      </c>
      <c r="G9" s="2">
        <f t="shared" si="1"/>
        <v>2022</v>
      </c>
      <c r="H9" s="5">
        <f t="shared" si="1"/>
        <v>2023</v>
      </c>
      <c r="I9" s="5">
        <f t="shared" si="1"/>
        <v>2024</v>
      </c>
      <c r="J9" s="5">
        <f t="shared" si="1"/>
        <v>2025</v>
      </c>
      <c r="K9" s="5">
        <f t="shared" si="1"/>
        <v>2026</v>
      </c>
      <c r="L9" s="5">
        <f t="shared" si="1"/>
        <v>2027</v>
      </c>
      <c r="M9" s="5">
        <f t="shared" si="1"/>
        <v>2028</v>
      </c>
      <c r="N9" s="5">
        <f t="shared" si="1"/>
        <v>2029</v>
      </c>
      <c r="O9" s="5">
        <f t="shared" si="1"/>
        <v>2030</v>
      </c>
      <c r="P9" s="5">
        <f t="shared" si="1"/>
        <v>2031</v>
      </c>
      <c r="Q9" s="5">
        <f t="shared" si="1"/>
        <v>2032</v>
      </c>
      <c r="R9" s="6" t="str">
        <f>Q9+1&amp;"ff."</f>
        <v>2033ff.</v>
      </c>
    </row>
    <row r="10" ht="15.75" customHeight="1">
      <c r="B10" s="2" t="s">
        <v>4</v>
      </c>
      <c r="C10" s="7">
        <v>2.5255</v>
      </c>
      <c r="D10" s="7">
        <v>2.7108</v>
      </c>
      <c r="E10" s="7">
        <v>2.9357</v>
      </c>
      <c r="F10" s="7">
        <v>3.38</v>
      </c>
      <c r="G10" s="7">
        <v>5.0645</v>
      </c>
      <c r="H10" s="8">
        <v>4.70798</v>
      </c>
      <c r="I10" s="8">
        <v>4.79083</v>
      </c>
      <c r="J10" s="8">
        <v>4.96899</v>
      </c>
      <c r="K10" s="8">
        <f t="shared" ref="K10:R10" si="2">J10*(1+K11)</f>
        <v>5.19259455</v>
      </c>
      <c r="L10" s="8">
        <f t="shared" si="2"/>
        <v>5.400298332</v>
      </c>
      <c r="M10" s="8">
        <f t="shared" si="2"/>
        <v>5.616310265</v>
      </c>
      <c r="N10" s="8">
        <f t="shared" si="2"/>
        <v>5.812881125</v>
      </c>
      <c r="O10" s="8">
        <f t="shared" si="2"/>
        <v>6.016331964</v>
      </c>
      <c r="P10" s="8">
        <f t="shared" si="2"/>
        <v>6.196821923</v>
      </c>
      <c r="Q10" s="8">
        <f t="shared" si="2"/>
        <v>6.351742471</v>
      </c>
      <c r="R10" s="8">
        <f t="shared" si="2"/>
        <v>6.47877732</v>
      </c>
    </row>
    <row r="11" ht="15.75" customHeight="1">
      <c r="B11" s="2" t="s">
        <v>5</v>
      </c>
      <c r="C11" s="9" t="s">
        <v>6</v>
      </c>
      <c r="D11" s="10">
        <f t="shared" ref="D11:J11" si="3">D10/C10-1</f>
        <v>0.07337160958</v>
      </c>
      <c r="E11" s="10">
        <f t="shared" si="3"/>
        <v>0.08296443854</v>
      </c>
      <c r="F11" s="10">
        <f t="shared" si="3"/>
        <v>0.1513438022</v>
      </c>
      <c r="G11" s="10">
        <f t="shared" si="3"/>
        <v>0.4983727811</v>
      </c>
      <c r="H11" s="11">
        <f t="shared" si="3"/>
        <v>-0.07039589298</v>
      </c>
      <c r="I11" s="11">
        <f t="shared" si="3"/>
        <v>0.01759778079</v>
      </c>
      <c r="J11" s="11">
        <f t="shared" si="3"/>
        <v>0.03718771069</v>
      </c>
      <c r="K11" s="11">
        <v>0.045</v>
      </c>
      <c r="L11" s="11">
        <v>0.04</v>
      </c>
      <c r="M11" s="11">
        <v>0.04</v>
      </c>
      <c r="N11" s="11">
        <v>0.035</v>
      </c>
      <c r="O11" s="11">
        <v>0.035</v>
      </c>
      <c r="P11" s="11">
        <v>0.03</v>
      </c>
      <c r="Q11" s="11">
        <v>0.025</v>
      </c>
      <c r="R11" s="11">
        <v>0.02</v>
      </c>
    </row>
    <row r="12" ht="15.75" customHeight="1">
      <c r="B12" s="2" t="s">
        <v>7</v>
      </c>
      <c r="C12" s="10">
        <f t="shared" ref="C12:J12" si="4">C13/C10</f>
        <v>0.1649178381</v>
      </c>
      <c r="D12" s="10">
        <f t="shared" si="4"/>
        <v>0.1598790025</v>
      </c>
      <c r="E12" s="10">
        <f t="shared" si="4"/>
        <v>0.1616990837</v>
      </c>
      <c r="F12" s="10">
        <f t="shared" si="4"/>
        <v>0.1168343195</v>
      </c>
      <c r="G12" s="10">
        <f t="shared" si="4"/>
        <v>0.2050547932</v>
      </c>
      <c r="H12" s="11">
        <f t="shared" si="4"/>
        <v>0.1417</v>
      </c>
      <c r="I12" s="11">
        <f t="shared" si="4"/>
        <v>0.1256</v>
      </c>
      <c r="J12" s="11">
        <f t="shared" si="4"/>
        <v>0.1422</v>
      </c>
      <c r="K12" s="11">
        <v>0.145</v>
      </c>
      <c r="L12" s="11">
        <v>0.1475</v>
      </c>
      <c r="M12" s="11">
        <v>0.155</v>
      </c>
      <c r="N12" s="11">
        <v>0.15</v>
      </c>
      <c r="O12" s="11">
        <v>0.16</v>
      </c>
      <c r="P12" s="11">
        <v>0.1625</v>
      </c>
      <c r="Q12" s="11">
        <v>0.1675</v>
      </c>
      <c r="R12" s="11">
        <v>0.165</v>
      </c>
    </row>
    <row r="13" ht="15.75" customHeight="1">
      <c r="B13" s="2" t="s">
        <v>8</v>
      </c>
      <c r="C13" s="7">
        <v>0.4165</v>
      </c>
      <c r="D13" s="7">
        <v>0.4334</v>
      </c>
      <c r="E13" s="7">
        <v>0.4747</v>
      </c>
      <c r="F13" s="7">
        <v>0.3949</v>
      </c>
      <c r="G13" s="7">
        <v>1.0385</v>
      </c>
      <c r="H13" s="8">
        <v>0.6671207659999999</v>
      </c>
      <c r="I13" s="8">
        <v>0.6017282479999999</v>
      </c>
      <c r="J13" s="8">
        <v>0.7065903779999999</v>
      </c>
      <c r="K13" s="8">
        <f t="shared" ref="K13:R13" si="5">K10*K12</f>
        <v>0.7529262098</v>
      </c>
      <c r="L13" s="8">
        <f t="shared" si="5"/>
        <v>0.796544004</v>
      </c>
      <c r="M13" s="8">
        <f t="shared" si="5"/>
        <v>0.8705280911</v>
      </c>
      <c r="N13" s="8">
        <f t="shared" si="5"/>
        <v>0.8719321687</v>
      </c>
      <c r="O13" s="8">
        <f t="shared" si="5"/>
        <v>0.9626131142</v>
      </c>
      <c r="P13" s="8">
        <f t="shared" si="5"/>
        <v>1.006983562</v>
      </c>
      <c r="Q13" s="8">
        <f t="shared" si="5"/>
        <v>1.063916864</v>
      </c>
      <c r="R13" s="8">
        <f t="shared" si="5"/>
        <v>1.068998258</v>
      </c>
    </row>
    <row r="14" ht="15.75" customHeight="1">
      <c r="A14" s="11">
        <v>0.2</v>
      </c>
      <c r="B14" s="2" t="s">
        <v>9</v>
      </c>
      <c r="C14" s="7">
        <v>0.1864</v>
      </c>
      <c r="D14" s="7">
        <v>0.3912</v>
      </c>
      <c r="E14" s="7">
        <v>0.3617</v>
      </c>
      <c r="F14" s="7">
        <v>0.3046</v>
      </c>
      <c r="G14" s="7">
        <v>0.5502</v>
      </c>
      <c r="H14" s="8">
        <v>0.467973212</v>
      </c>
      <c r="I14" s="8">
        <v>0.381350068</v>
      </c>
      <c r="J14" s="8">
        <v>0.424351746</v>
      </c>
      <c r="K14" s="8">
        <f t="shared" ref="K14:R14" si="6">K13*(1-$A$14)</f>
        <v>0.6023409678</v>
      </c>
      <c r="L14" s="8">
        <f t="shared" si="6"/>
        <v>0.6372352032</v>
      </c>
      <c r="M14" s="8">
        <f t="shared" si="6"/>
        <v>0.6964224729</v>
      </c>
      <c r="N14" s="8">
        <f t="shared" si="6"/>
        <v>0.6975457349</v>
      </c>
      <c r="O14" s="8">
        <f t="shared" si="6"/>
        <v>0.7700904914</v>
      </c>
      <c r="P14" s="8">
        <f t="shared" si="6"/>
        <v>0.80558685</v>
      </c>
      <c r="Q14" s="8">
        <f t="shared" si="6"/>
        <v>0.8511334911</v>
      </c>
      <c r="R14" s="8">
        <f t="shared" si="6"/>
        <v>0.8551986063</v>
      </c>
    </row>
    <row r="15" ht="15.75" customHeight="1">
      <c r="A15" s="11">
        <v>1.0</v>
      </c>
      <c r="B15" s="2" t="s">
        <v>10</v>
      </c>
      <c r="H15" s="8">
        <f>C33</f>
        <v>0.0528</v>
      </c>
      <c r="I15" s="8">
        <f t="shared" ref="I15:Q15" si="7">H15*$A$15</f>
        <v>0.0528</v>
      </c>
      <c r="J15" s="8">
        <f t="shared" si="7"/>
        <v>0.0528</v>
      </c>
      <c r="K15" s="8">
        <f t="shared" si="7"/>
        <v>0.0528</v>
      </c>
      <c r="L15" s="8">
        <f t="shared" si="7"/>
        <v>0.0528</v>
      </c>
      <c r="M15" s="8">
        <f t="shared" si="7"/>
        <v>0.0528</v>
      </c>
      <c r="N15" s="8">
        <f t="shared" si="7"/>
        <v>0.0528</v>
      </c>
      <c r="O15" s="8">
        <f t="shared" si="7"/>
        <v>0.0528</v>
      </c>
      <c r="P15" s="8">
        <f t="shared" si="7"/>
        <v>0.0528</v>
      </c>
      <c r="Q15" s="8">
        <f t="shared" si="7"/>
        <v>0.0528</v>
      </c>
      <c r="R15" s="6" t="s">
        <v>6</v>
      </c>
    </row>
    <row r="16" ht="15.75" customHeight="1">
      <c r="B16" s="2" t="s">
        <v>11</v>
      </c>
      <c r="H16" s="8">
        <f t="shared" ref="H16:Q16" si="8">H14/H15</f>
        <v>8.863129015</v>
      </c>
      <c r="I16" s="8">
        <f t="shared" si="8"/>
        <v>7.222539167</v>
      </c>
      <c r="J16" s="8">
        <f t="shared" si="8"/>
        <v>8.036964886</v>
      </c>
      <c r="K16" s="8">
        <f t="shared" si="8"/>
        <v>11.40797288</v>
      </c>
      <c r="L16" s="8">
        <f t="shared" si="8"/>
        <v>12.06884855</v>
      </c>
      <c r="M16" s="8">
        <f t="shared" si="8"/>
        <v>13.18981956</v>
      </c>
      <c r="N16" s="8">
        <f t="shared" si="8"/>
        <v>13.21109346</v>
      </c>
      <c r="O16" s="8">
        <f t="shared" si="8"/>
        <v>14.58504719</v>
      </c>
      <c r="P16" s="8">
        <f t="shared" si="8"/>
        <v>15.2573267</v>
      </c>
      <c r="Q16" s="8">
        <f t="shared" si="8"/>
        <v>16.11995248</v>
      </c>
      <c r="R16" s="6" t="s">
        <v>6</v>
      </c>
    </row>
    <row r="17" ht="15.75" customHeight="1">
      <c r="F17" s="12" t="s">
        <v>12</v>
      </c>
      <c r="G17" s="13"/>
      <c r="H17" s="14">
        <f>H14/(1+$B$29)</f>
        <v>0.4538926011</v>
      </c>
      <c r="I17" s="14">
        <f>I14/(1+$B$29)^2</f>
        <v>0.3587468097</v>
      </c>
      <c r="J17" s="14">
        <f>J14/(1+$B$29)^3</f>
        <v>0.3871883867</v>
      </c>
      <c r="K17" s="14">
        <f>K14/(1+$B$29)^4</f>
        <v>0.5330535517</v>
      </c>
      <c r="L17" s="14">
        <f>L14/(1+$B$29)^5</f>
        <v>0.5469659717</v>
      </c>
      <c r="M17" s="14">
        <f>M14/(1+$B$29)^6</f>
        <v>0.5797829443</v>
      </c>
      <c r="N17" s="14">
        <f>N14/(1+$B$29)^7</f>
        <v>0.5632451436</v>
      </c>
      <c r="O17" s="14">
        <f>O14/(1+$B$29)^8</f>
        <v>0.6031129295</v>
      </c>
      <c r="P17" s="14">
        <f>P14/(1+$B$29)^9</f>
        <v>0.6119294518</v>
      </c>
      <c r="Q17" s="14">
        <f>Q14/(1+$B$29)^10</f>
        <v>0.6270739755</v>
      </c>
      <c r="R17" s="15">
        <f>(R14/(B29-R11))/(1+B29)^10</f>
        <v>57.16518528</v>
      </c>
    </row>
    <row r="18" ht="15.75" customHeight="1"/>
    <row r="19" ht="15.75" customHeight="1">
      <c r="A19" s="16" t="s">
        <v>13</v>
      </c>
      <c r="B19" s="17"/>
    </row>
    <row r="20" ht="15.75" customHeight="1">
      <c r="B20" s="18"/>
    </row>
    <row r="21" ht="15.75" customHeight="1">
      <c r="A21" s="2" t="s">
        <v>14</v>
      </c>
      <c r="B21" s="19">
        <v>0.00813</v>
      </c>
    </row>
    <row r="22" ht="15.75" customHeight="1">
      <c r="B22" s="18"/>
    </row>
    <row r="23" ht="15.75" customHeight="1">
      <c r="A23" s="2" t="s">
        <v>15</v>
      </c>
      <c r="B23" s="20">
        <f>(B25-B21)*B27</f>
        <v>0.0228919</v>
      </c>
    </row>
    <row r="24" ht="15.75" customHeight="1">
      <c r="B24" s="18"/>
    </row>
    <row r="25" ht="15.75" customHeight="1">
      <c r="A25" s="2" t="s">
        <v>16</v>
      </c>
      <c r="B25" s="20">
        <v>0.07</v>
      </c>
    </row>
    <row r="26" ht="15.75" customHeight="1">
      <c r="B26" s="18"/>
    </row>
    <row r="27" ht="15.75" customHeight="1">
      <c r="A27" s="2" t="s">
        <v>17</v>
      </c>
      <c r="B27" s="21">
        <v>0.37</v>
      </c>
    </row>
    <row r="28" ht="15.75" customHeight="1">
      <c r="B28" s="18"/>
    </row>
    <row r="29" ht="15.75" customHeight="1">
      <c r="A29" s="22" t="s">
        <v>18</v>
      </c>
      <c r="B29" s="23">
        <f>B21+(B25-B21)*B27</f>
        <v>0.0310219</v>
      </c>
    </row>
    <row r="30" ht="15.75" customHeight="1"/>
    <row r="31" ht="15.75" customHeight="1">
      <c r="A31" s="3"/>
      <c r="B31" s="3"/>
      <c r="C31" s="24">
        <v>45352.0</v>
      </c>
      <c r="D31" s="25" t="s">
        <v>19</v>
      </c>
    </row>
    <row r="32" ht="15.75" customHeight="1">
      <c r="A32" s="5" t="s">
        <v>20</v>
      </c>
      <c r="B32" s="5" t="s">
        <v>21</v>
      </c>
      <c r="C32" s="8">
        <f>C33*C34</f>
        <v>6.60528</v>
      </c>
      <c r="D32" s="8">
        <f>SUM(H17:R17)</f>
        <v>62.43017705</v>
      </c>
      <c r="H32" s="2" t="s">
        <v>22</v>
      </c>
    </row>
    <row r="33" ht="15.75" customHeight="1">
      <c r="A33" s="5"/>
      <c r="B33" s="5" t="s">
        <v>23</v>
      </c>
      <c r="C33" s="8">
        <v>0.0528</v>
      </c>
      <c r="D33" s="8">
        <f>C33</f>
        <v>0.0528</v>
      </c>
    </row>
    <row r="34" ht="15.75" customHeight="1">
      <c r="A34" s="5"/>
      <c r="B34" s="5" t="s">
        <v>24</v>
      </c>
      <c r="C34" s="26">
        <v>125.1</v>
      </c>
      <c r="D34" s="26">
        <v>11.06</v>
      </c>
    </row>
    <row r="35" ht="15.75" customHeight="1">
      <c r="A35" s="5"/>
      <c r="B35" s="5" t="s">
        <v>25</v>
      </c>
      <c r="C35" s="5"/>
      <c r="D35" s="11">
        <f>IF(C34/D34-1&gt;0,0,C34/D34-1)*-1</f>
        <v>0</v>
      </c>
    </row>
    <row r="36" ht="15.75" customHeight="1">
      <c r="A36" s="5"/>
      <c r="B36" s="5" t="s">
        <v>26</v>
      </c>
      <c r="C36" s="5"/>
      <c r="D36" s="11">
        <f>IF(C34/D34-1&lt;0,0,C34/D34-1)</f>
        <v>10.31103074</v>
      </c>
    </row>
    <row r="37" ht="15.75" customHeight="1">
      <c r="A37" s="27"/>
      <c r="B37" s="27"/>
      <c r="C37" s="27"/>
      <c r="D37" s="27"/>
    </row>
    <row r="38" ht="15.75" customHeight="1">
      <c r="A38" s="28" t="s">
        <v>27</v>
      </c>
      <c r="B38" s="29"/>
      <c r="C38" s="29"/>
      <c r="D38" s="17"/>
    </row>
    <row r="39" ht="15.75" customHeight="1">
      <c r="A39" s="30"/>
      <c r="D39" s="18"/>
    </row>
    <row r="40" ht="15.75" customHeight="1">
      <c r="A40" s="30" t="str">
        <f>"KGV in "&amp;Q9&amp;":"</f>
        <v>KGV in 2032:</v>
      </c>
      <c r="D40" s="21">
        <v>19.0</v>
      </c>
    </row>
    <row r="41" ht="15.75" customHeight="1">
      <c r="A41" s="30"/>
      <c r="D41" s="18"/>
    </row>
    <row r="42" ht="15.75" customHeight="1">
      <c r="A42" s="30" t="str">
        <f>"Aktienkurs in "&amp;Q9&amp;":"</f>
        <v>Aktienkurs in 2032:</v>
      </c>
      <c r="D42" s="21">
        <f>Q16*D40</f>
        <v>306.2790972</v>
      </c>
    </row>
    <row r="43" ht="15.75" customHeight="1">
      <c r="A43" s="30"/>
      <c r="D43" s="18"/>
    </row>
    <row r="44" ht="15.75" customHeight="1">
      <c r="A44" s="30" t="s">
        <v>28</v>
      </c>
      <c r="D44" s="20">
        <v>0.5</v>
      </c>
    </row>
    <row r="45" ht="15.75" customHeight="1">
      <c r="A45" s="30"/>
      <c r="D45" s="18"/>
    </row>
    <row r="46" ht="15.75" customHeight="1">
      <c r="A46" s="30" t="s">
        <v>29</v>
      </c>
      <c r="D46" s="21">
        <f>D44*SUM(H16:Q16)</f>
        <v>59.98134694</v>
      </c>
    </row>
    <row r="47" ht="15.75" customHeight="1">
      <c r="A47" s="30"/>
      <c r="D47" s="18"/>
    </row>
    <row r="48" ht="15.75" customHeight="1">
      <c r="A48" s="30" t="s">
        <v>30</v>
      </c>
      <c r="D48" s="20">
        <v>0.15</v>
      </c>
    </row>
    <row r="49" ht="15.75" customHeight="1">
      <c r="A49" s="30"/>
      <c r="D49" s="18"/>
    </row>
    <row r="50" ht="15.75" customHeight="1">
      <c r="A50" s="30" t="str">
        <f>"Gesamtwert "&amp;Q9</f>
        <v>Gesamtwert 2032</v>
      </c>
      <c r="D50" s="21">
        <f>D42+D46*(1-D48)</f>
        <v>357.2632421</v>
      </c>
    </row>
    <row r="51" ht="15.75" customHeight="1">
      <c r="A51" s="30"/>
      <c r="D51" s="18"/>
    </row>
    <row r="52" ht="15.75" customHeight="1">
      <c r="A52" s="30" t="str">
        <f>"Steigerung bis "&amp;Q9</f>
        <v>Steigerung bis 2032</v>
      </c>
      <c r="D52" s="20">
        <f>D50/C34-1</f>
        <v>1.85582128</v>
      </c>
    </row>
    <row r="53" ht="15.75" customHeight="1">
      <c r="A53" s="30"/>
      <c r="D53" s="18"/>
    </row>
    <row r="54" ht="15.75" customHeight="1">
      <c r="A54" s="31" t="str">
        <f>"Renditeerwartung bis "&amp;Q9&amp;" pro Jahr"</f>
        <v>Renditeerwartung bis 2032 pro Jahr</v>
      </c>
      <c r="B54" s="32"/>
      <c r="C54" s="32"/>
      <c r="D54" s="33">
        <f>(D50/C34)^(1/10)-1</f>
        <v>0.1106394678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/>
    <row r="2" ht="15.75" customHeight="1">
      <c r="B2" s="1" t="s">
        <v>0</v>
      </c>
    </row>
    <row r="3" ht="15.75" customHeight="1"/>
    <row r="4" ht="15.75" customHeight="1">
      <c r="B4" s="2" t="str">
        <f>Optimistisch!B4</f>
        <v>Annahmen für BKW</v>
      </c>
    </row>
    <row r="5" ht="15.75" customHeight="1"/>
    <row r="6" ht="15.75" customHeight="1">
      <c r="B6" s="2" t="str">
        <f>Optimistisch!B6</f>
        <v>Alle Angaben in Mrd.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2">
        <f>Optimistisch!C9</f>
        <v>2018</v>
      </c>
      <c r="D9" s="2">
        <f t="shared" ref="D9:Q9" si="1">C9+1</f>
        <v>2019</v>
      </c>
      <c r="E9" s="2">
        <f t="shared" si="1"/>
        <v>2020</v>
      </c>
      <c r="F9" s="2">
        <f t="shared" si="1"/>
        <v>2021</v>
      </c>
      <c r="G9" s="2">
        <f t="shared" si="1"/>
        <v>2022</v>
      </c>
      <c r="H9" s="5">
        <f t="shared" si="1"/>
        <v>2023</v>
      </c>
      <c r="I9" s="5">
        <f t="shared" si="1"/>
        <v>2024</v>
      </c>
      <c r="J9" s="5">
        <f t="shared" si="1"/>
        <v>2025</v>
      </c>
      <c r="K9" s="5">
        <f t="shared" si="1"/>
        <v>2026</v>
      </c>
      <c r="L9" s="5">
        <f t="shared" si="1"/>
        <v>2027</v>
      </c>
      <c r="M9" s="5">
        <f t="shared" si="1"/>
        <v>2028</v>
      </c>
      <c r="N9" s="5">
        <f t="shared" si="1"/>
        <v>2029</v>
      </c>
      <c r="O9" s="5">
        <f t="shared" si="1"/>
        <v>2030</v>
      </c>
      <c r="P9" s="5">
        <f t="shared" si="1"/>
        <v>2031</v>
      </c>
      <c r="Q9" s="5">
        <f t="shared" si="1"/>
        <v>2032</v>
      </c>
      <c r="R9" s="6" t="str">
        <f>Q9+1&amp;"ff."</f>
        <v>2033ff.</v>
      </c>
    </row>
    <row r="10" ht="15.75" customHeight="1">
      <c r="B10" s="2" t="s">
        <v>4</v>
      </c>
      <c r="C10" s="7">
        <f>Optimistisch!C10</f>
        <v>2.5255</v>
      </c>
      <c r="D10" s="7">
        <f>Optimistisch!D10</f>
        <v>2.7108</v>
      </c>
      <c r="E10" s="7">
        <f>Optimistisch!E10</f>
        <v>2.9357</v>
      </c>
      <c r="F10" s="7">
        <f>Optimistisch!F10</f>
        <v>3.38</v>
      </c>
      <c r="G10" s="7">
        <f>Optimistisch!G10</f>
        <v>5.0645</v>
      </c>
      <c r="H10" s="8">
        <f>Optimistisch!H10</f>
        <v>4.70798</v>
      </c>
      <c r="I10" s="8">
        <f>Optimistisch!I10</f>
        <v>4.79083</v>
      </c>
      <c r="J10" s="8">
        <f>Optimistisch!J10</f>
        <v>4.96899</v>
      </c>
      <c r="K10" s="8">
        <f t="shared" ref="K10:R10" si="2">J10*(1+K11)</f>
        <v>5.14290465</v>
      </c>
      <c r="L10" s="8">
        <f t="shared" si="2"/>
        <v>5.310049051</v>
      </c>
      <c r="M10" s="8">
        <f t="shared" si="2"/>
        <v>5.469350523</v>
      </c>
      <c r="N10" s="8">
        <f t="shared" si="2"/>
        <v>5.619757662</v>
      </c>
      <c r="O10" s="8">
        <f t="shared" si="2"/>
        <v>5.760251604</v>
      </c>
      <c r="P10" s="8">
        <f t="shared" si="2"/>
        <v>5.875456636</v>
      </c>
      <c r="Q10" s="8">
        <f t="shared" si="2"/>
        <v>5.992965768</v>
      </c>
      <c r="R10" s="8">
        <f t="shared" si="2"/>
        <v>6.082860255</v>
      </c>
    </row>
    <row r="11" ht="15.75" customHeight="1">
      <c r="B11" s="2" t="s">
        <v>5</v>
      </c>
      <c r="C11" s="9" t="s">
        <v>6</v>
      </c>
      <c r="D11" s="10">
        <f t="shared" ref="D11:J11" si="3">D10/C10-1</f>
        <v>0.07337160958</v>
      </c>
      <c r="E11" s="10">
        <f t="shared" si="3"/>
        <v>0.08296443854</v>
      </c>
      <c r="F11" s="10">
        <f t="shared" si="3"/>
        <v>0.1513438022</v>
      </c>
      <c r="G11" s="10">
        <f t="shared" si="3"/>
        <v>0.4983727811</v>
      </c>
      <c r="H11" s="11">
        <f t="shared" si="3"/>
        <v>-0.07039589298</v>
      </c>
      <c r="I11" s="11">
        <f t="shared" si="3"/>
        <v>0.01759778079</v>
      </c>
      <c r="J11" s="11">
        <f t="shared" si="3"/>
        <v>0.03718771069</v>
      </c>
      <c r="K11" s="11">
        <v>0.035</v>
      </c>
      <c r="L11" s="11">
        <v>0.0325</v>
      </c>
      <c r="M11" s="11">
        <v>0.03</v>
      </c>
      <c r="N11" s="11">
        <v>0.0275</v>
      </c>
      <c r="O11" s="11">
        <v>0.025</v>
      </c>
      <c r="P11" s="11">
        <v>0.02</v>
      </c>
      <c r="Q11" s="11">
        <v>0.02</v>
      </c>
      <c r="R11" s="11">
        <v>0.015</v>
      </c>
    </row>
    <row r="12" ht="15.75" customHeight="1">
      <c r="B12" s="2" t="s">
        <v>7</v>
      </c>
      <c r="C12" s="10">
        <f t="shared" ref="C12:J12" si="4">C13/C10</f>
        <v>0.1649178381</v>
      </c>
      <c r="D12" s="10">
        <f t="shared" si="4"/>
        <v>0.1598790025</v>
      </c>
      <c r="E12" s="10">
        <f t="shared" si="4"/>
        <v>0.1616990837</v>
      </c>
      <c r="F12" s="10">
        <f t="shared" si="4"/>
        <v>0.1168343195</v>
      </c>
      <c r="G12" s="10">
        <f t="shared" si="4"/>
        <v>0.2050547932</v>
      </c>
      <c r="H12" s="11">
        <f t="shared" si="4"/>
        <v>0.1417</v>
      </c>
      <c r="I12" s="11">
        <f t="shared" si="4"/>
        <v>0.1256</v>
      </c>
      <c r="J12" s="11">
        <f t="shared" si="4"/>
        <v>0.1422</v>
      </c>
      <c r="K12" s="11">
        <v>0.145</v>
      </c>
      <c r="L12" s="11">
        <v>0.14</v>
      </c>
      <c r="M12" s="11">
        <v>0.1375</v>
      </c>
      <c r="N12" s="11">
        <v>0.1375</v>
      </c>
      <c r="O12" s="11">
        <v>0.115</v>
      </c>
      <c r="P12" s="11">
        <v>0.1375</v>
      </c>
      <c r="Q12" s="11">
        <v>0.1325</v>
      </c>
      <c r="R12" s="11">
        <v>0.13</v>
      </c>
    </row>
    <row r="13" ht="15.75" customHeight="1">
      <c r="B13" s="2" t="s">
        <v>8</v>
      </c>
      <c r="C13" s="7">
        <f>Optimistisch!C13</f>
        <v>0.4165</v>
      </c>
      <c r="D13" s="7">
        <f>Optimistisch!D13</f>
        <v>0.4334</v>
      </c>
      <c r="E13" s="7">
        <f>Optimistisch!E13</f>
        <v>0.4747</v>
      </c>
      <c r="F13" s="7">
        <f>Optimistisch!F13</f>
        <v>0.3949</v>
      </c>
      <c r="G13" s="7">
        <f>Optimistisch!G13</f>
        <v>1.0385</v>
      </c>
      <c r="H13" s="8">
        <f>Optimistisch!H13</f>
        <v>0.667120766</v>
      </c>
      <c r="I13" s="8">
        <f>Optimistisch!I13</f>
        <v>0.601728248</v>
      </c>
      <c r="J13" s="8">
        <f>Optimistisch!J13</f>
        <v>0.706590378</v>
      </c>
      <c r="K13" s="8">
        <f t="shared" ref="K13:R13" si="5">K10*K12</f>
        <v>0.7457211743</v>
      </c>
      <c r="L13" s="8">
        <f t="shared" si="5"/>
        <v>0.7434068672</v>
      </c>
      <c r="M13" s="8">
        <f t="shared" si="5"/>
        <v>0.7520356969</v>
      </c>
      <c r="N13" s="8">
        <f t="shared" si="5"/>
        <v>0.7727166785</v>
      </c>
      <c r="O13" s="8">
        <f t="shared" si="5"/>
        <v>0.6624289344</v>
      </c>
      <c r="P13" s="8">
        <f t="shared" si="5"/>
        <v>0.8078752874</v>
      </c>
      <c r="Q13" s="8">
        <f t="shared" si="5"/>
        <v>0.7940679643</v>
      </c>
      <c r="R13" s="8">
        <f t="shared" si="5"/>
        <v>0.7907718331</v>
      </c>
    </row>
    <row r="14" ht="15.75" customHeight="1">
      <c r="A14" s="11">
        <v>0.25</v>
      </c>
      <c r="B14" s="2" t="s">
        <v>9</v>
      </c>
      <c r="C14" s="7">
        <f>Optimistisch!C14</f>
        <v>0.1864</v>
      </c>
      <c r="D14" s="7">
        <f>Optimistisch!D14</f>
        <v>0.3912</v>
      </c>
      <c r="E14" s="7">
        <f>Optimistisch!E14</f>
        <v>0.3617</v>
      </c>
      <c r="F14" s="7">
        <f>Optimistisch!F14</f>
        <v>0.3046</v>
      </c>
      <c r="G14" s="7">
        <f>Optimistisch!G14</f>
        <v>0.5502</v>
      </c>
      <c r="H14" s="8">
        <f>Optimistisch!H14</f>
        <v>0.467973212</v>
      </c>
      <c r="I14" s="8">
        <f>Optimistisch!I14</f>
        <v>0.381350068</v>
      </c>
      <c r="J14" s="8">
        <f>Optimistisch!J14</f>
        <v>0.424351746</v>
      </c>
      <c r="K14" s="8">
        <f t="shared" ref="K14:R14" si="6">K13*(1-$A$14)</f>
        <v>0.5592908807</v>
      </c>
      <c r="L14" s="8">
        <f t="shared" si="6"/>
        <v>0.5575551504</v>
      </c>
      <c r="M14" s="8">
        <f t="shared" si="6"/>
        <v>0.5640267726</v>
      </c>
      <c r="N14" s="8">
        <f t="shared" si="6"/>
        <v>0.5795375089</v>
      </c>
      <c r="O14" s="8">
        <f t="shared" si="6"/>
        <v>0.4968217008</v>
      </c>
      <c r="P14" s="8">
        <f t="shared" si="6"/>
        <v>0.6059064656</v>
      </c>
      <c r="Q14" s="8">
        <f t="shared" si="6"/>
        <v>0.5955509732</v>
      </c>
      <c r="R14" s="8">
        <f t="shared" si="6"/>
        <v>0.5930788749</v>
      </c>
    </row>
    <row r="15" ht="15.75" customHeight="1">
      <c r="A15" s="11">
        <v>1.0</v>
      </c>
      <c r="B15" s="2" t="s">
        <v>10</v>
      </c>
      <c r="H15" s="8">
        <f>C33</f>
        <v>0.0528</v>
      </c>
      <c r="I15" s="8">
        <f t="shared" ref="I15:Q15" si="7">H15*$A$15</f>
        <v>0.0528</v>
      </c>
      <c r="J15" s="8">
        <f t="shared" si="7"/>
        <v>0.0528</v>
      </c>
      <c r="K15" s="8">
        <f t="shared" si="7"/>
        <v>0.0528</v>
      </c>
      <c r="L15" s="8">
        <f t="shared" si="7"/>
        <v>0.0528</v>
      </c>
      <c r="M15" s="8">
        <f t="shared" si="7"/>
        <v>0.0528</v>
      </c>
      <c r="N15" s="8">
        <f t="shared" si="7"/>
        <v>0.0528</v>
      </c>
      <c r="O15" s="8">
        <f t="shared" si="7"/>
        <v>0.0528</v>
      </c>
      <c r="P15" s="8">
        <f t="shared" si="7"/>
        <v>0.0528</v>
      </c>
      <c r="Q15" s="8">
        <f t="shared" si="7"/>
        <v>0.0528</v>
      </c>
      <c r="R15" s="6" t="s">
        <v>6</v>
      </c>
    </row>
    <row r="16" ht="15.75" customHeight="1">
      <c r="B16" s="2" t="s">
        <v>11</v>
      </c>
      <c r="H16" s="8">
        <f t="shared" ref="H16:Q16" si="8">H14/H15</f>
        <v>8.863129015</v>
      </c>
      <c r="I16" s="8">
        <f t="shared" si="8"/>
        <v>7.222539167</v>
      </c>
      <c r="J16" s="8">
        <f t="shared" si="8"/>
        <v>8.036964886</v>
      </c>
      <c r="K16" s="8">
        <f t="shared" si="8"/>
        <v>10.59263032</v>
      </c>
      <c r="L16" s="8">
        <f t="shared" si="8"/>
        <v>10.55975664</v>
      </c>
      <c r="M16" s="8">
        <f t="shared" si="8"/>
        <v>10.68232524</v>
      </c>
      <c r="N16" s="8">
        <f t="shared" si="8"/>
        <v>10.97608918</v>
      </c>
      <c r="O16" s="8">
        <f t="shared" si="8"/>
        <v>9.409501909</v>
      </c>
      <c r="P16" s="8">
        <f t="shared" si="8"/>
        <v>11.47550124</v>
      </c>
      <c r="Q16" s="8">
        <f t="shared" si="8"/>
        <v>11.27937449</v>
      </c>
      <c r="R16" s="6" t="s">
        <v>6</v>
      </c>
    </row>
    <row r="17" ht="15.75" customHeight="1">
      <c r="F17" s="12" t="s">
        <v>12</v>
      </c>
      <c r="G17" s="13"/>
      <c r="H17" s="14">
        <f>H14/(1+$B$29)</f>
        <v>0.4538926011</v>
      </c>
      <c r="I17" s="14">
        <f>I14/(1+$B$29)^2</f>
        <v>0.3587468097</v>
      </c>
      <c r="J17" s="14">
        <f>J14/(1+$B$29)^3</f>
        <v>0.3871883867</v>
      </c>
      <c r="K17" s="14">
        <f>K14/(1+$B$29)^4</f>
        <v>0.4949555257</v>
      </c>
      <c r="L17" s="14">
        <f>L14/(1+$B$29)^5</f>
        <v>0.4785732067</v>
      </c>
      <c r="M17" s="14">
        <f>M14/(1+$B$29)^6</f>
        <v>0.4695613879</v>
      </c>
      <c r="N17" s="14">
        <f>N14/(1+$B$29)^7</f>
        <v>0.4679573984</v>
      </c>
      <c r="O17" s="14">
        <f>O14/(1+$B$29)^8</f>
        <v>0.3890965994</v>
      </c>
      <c r="P17" s="14">
        <f>P14/(1+$B$29)^9</f>
        <v>0.4602508238</v>
      </c>
      <c r="Q17" s="14">
        <f>Q14/(1+$B$29)^10</f>
        <v>0.4387731423</v>
      </c>
      <c r="R17" s="15">
        <f>(R14/(B29-R11))/(1+B29)^10</f>
        <v>27.27215997</v>
      </c>
    </row>
    <row r="18" ht="15.75" customHeight="1"/>
    <row r="19" ht="15.75" customHeight="1">
      <c r="A19" s="16" t="s">
        <v>13</v>
      </c>
      <c r="B19" s="17"/>
    </row>
    <row r="20" ht="15.75" customHeight="1">
      <c r="B20" s="18"/>
    </row>
    <row r="21" ht="15.75" customHeight="1">
      <c r="A21" s="2" t="s">
        <v>14</v>
      </c>
      <c r="B21" s="20">
        <f>Optimistisch!B21</f>
        <v>0.00813</v>
      </c>
    </row>
    <row r="22" ht="15.75" customHeight="1">
      <c r="B22" s="18"/>
    </row>
    <row r="23" ht="15.75" customHeight="1">
      <c r="A23" s="2" t="s">
        <v>15</v>
      </c>
      <c r="B23" s="20">
        <f>(B25-B21)*B27</f>
        <v>0.0228919</v>
      </c>
    </row>
    <row r="24" ht="15.75" customHeight="1">
      <c r="B24" s="18"/>
    </row>
    <row r="25" ht="15.75" customHeight="1">
      <c r="A25" s="2" t="s">
        <v>16</v>
      </c>
      <c r="B25" s="20">
        <f>Optimistisch!B25</f>
        <v>0.07</v>
      </c>
    </row>
    <row r="26" ht="15.75" customHeight="1">
      <c r="B26" s="18"/>
    </row>
    <row r="27" ht="15.75" customHeight="1">
      <c r="A27" s="2" t="s">
        <v>17</v>
      </c>
      <c r="B27" s="21">
        <f>Optimistisch!B27</f>
        <v>0.37</v>
      </c>
    </row>
    <row r="28" ht="15.75" customHeight="1">
      <c r="B28" s="18"/>
    </row>
    <row r="29" ht="15.75" customHeight="1">
      <c r="A29" s="22" t="s">
        <v>18</v>
      </c>
      <c r="B29" s="23">
        <f>B21+(B25-B21)*B27</f>
        <v>0.0310219</v>
      </c>
    </row>
    <row r="30" ht="15.75" customHeight="1"/>
    <row r="31" ht="15.75" customHeight="1">
      <c r="A31" s="3"/>
      <c r="B31" s="3"/>
      <c r="C31" s="24">
        <f>Optimistisch!C31</f>
        <v>45352</v>
      </c>
      <c r="D31" s="25" t="s">
        <v>19</v>
      </c>
    </row>
    <row r="32" ht="15.75" customHeight="1">
      <c r="A32" s="5" t="s">
        <v>20</v>
      </c>
      <c r="B32" s="5" t="s">
        <v>21</v>
      </c>
      <c r="C32" s="8">
        <f>C33*C34</f>
        <v>6.60528</v>
      </c>
      <c r="D32" s="8">
        <f>SUM(H17:R17)</f>
        <v>31.67115585</v>
      </c>
    </row>
    <row r="33" ht="15.75" customHeight="1">
      <c r="A33" s="5"/>
      <c r="B33" s="5" t="s">
        <v>23</v>
      </c>
      <c r="C33" s="8">
        <f>Optimistisch!C33</f>
        <v>0.0528</v>
      </c>
      <c r="D33" s="8">
        <f>C33</f>
        <v>0.0528</v>
      </c>
    </row>
    <row r="34" ht="15.75" customHeight="1">
      <c r="A34" s="5"/>
      <c r="B34" s="5" t="s">
        <v>24</v>
      </c>
      <c r="C34" s="8">
        <f>Optimistisch!C34</f>
        <v>125.1</v>
      </c>
      <c r="D34" s="8">
        <f>D32/D33</f>
        <v>599.8324971</v>
      </c>
    </row>
    <row r="35" ht="15.75" customHeight="1">
      <c r="A35" s="5"/>
      <c r="B35" s="5" t="s">
        <v>25</v>
      </c>
      <c r="C35" s="5"/>
      <c r="D35" s="11">
        <f>IF(C34/D34-1&gt;0,0,C34/D34-1)*-1</f>
        <v>0.7914417765</v>
      </c>
    </row>
    <row r="36" ht="15.75" customHeight="1">
      <c r="A36" s="5"/>
      <c r="B36" s="5" t="s">
        <v>26</v>
      </c>
      <c r="C36" s="5"/>
      <c r="D36" s="11">
        <f>IF(C34/D34-1&lt;0,0,C34/D34-1)</f>
        <v>0</v>
      </c>
    </row>
    <row r="37" ht="15.75" customHeight="1">
      <c r="A37" s="27"/>
      <c r="B37" s="27"/>
      <c r="C37" s="27"/>
      <c r="D37" s="27"/>
    </row>
    <row r="38" ht="15.75" customHeight="1">
      <c r="A38" s="28" t="s">
        <v>27</v>
      </c>
      <c r="B38" s="29"/>
      <c r="C38" s="29"/>
      <c r="D38" s="17"/>
    </row>
    <row r="39" ht="15.75" customHeight="1">
      <c r="A39" s="30"/>
      <c r="D39" s="18"/>
    </row>
    <row r="40" ht="15.75" customHeight="1">
      <c r="A40" s="30" t="str">
        <f>"KGV in "&amp;Q9&amp;":"</f>
        <v>KGV in 2032:</v>
      </c>
      <c r="D40" s="21">
        <v>14.0</v>
      </c>
    </row>
    <row r="41" ht="15.75" customHeight="1">
      <c r="A41" s="30"/>
      <c r="D41" s="18"/>
    </row>
    <row r="42" ht="15.75" customHeight="1">
      <c r="A42" s="30" t="str">
        <f>"Aktienkurs in "&amp;Q9&amp;":"</f>
        <v>Aktienkurs in 2032:</v>
      </c>
      <c r="D42" s="21">
        <f>Q16*D40</f>
        <v>157.9112429</v>
      </c>
    </row>
    <row r="43" ht="15.75" customHeight="1">
      <c r="A43" s="30"/>
      <c r="D43" s="18"/>
    </row>
    <row r="44" ht="15.75" customHeight="1">
      <c r="A44" s="30" t="s">
        <v>28</v>
      </c>
      <c r="D44" s="20">
        <v>0.4</v>
      </c>
    </row>
    <row r="45" ht="15.75" customHeight="1">
      <c r="A45" s="30"/>
      <c r="D45" s="18"/>
    </row>
    <row r="46" ht="15.75" customHeight="1">
      <c r="A46" s="30" t="s">
        <v>29</v>
      </c>
      <c r="D46" s="21">
        <f>D44*SUM(H16:Q16)</f>
        <v>39.63912483</v>
      </c>
    </row>
    <row r="47" ht="15.75" customHeight="1">
      <c r="A47" s="30"/>
      <c r="D47" s="18"/>
    </row>
    <row r="48" ht="15.75" customHeight="1">
      <c r="A48" s="30" t="s">
        <v>30</v>
      </c>
      <c r="D48" s="20">
        <f>Optimistisch!D48</f>
        <v>0.15</v>
      </c>
    </row>
    <row r="49" ht="15.75" customHeight="1">
      <c r="A49" s="30"/>
      <c r="D49" s="18"/>
    </row>
    <row r="50" ht="15.75" customHeight="1">
      <c r="A50" s="30" t="str">
        <f>"Gesamtwert "&amp;Q9</f>
        <v>Gesamtwert 2032</v>
      </c>
      <c r="D50" s="21">
        <f>D42+D46*(1-D48)</f>
        <v>191.604499</v>
      </c>
    </row>
    <row r="51" ht="15.75" customHeight="1">
      <c r="A51" s="30"/>
      <c r="D51" s="18"/>
    </row>
    <row r="52" ht="15.75" customHeight="1">
      <c r="A52" s="30" t="str">
        <f>"Steigerung bis "&amp;Q9</f>
        <v>Steigerung bis 2032</v>
      </c>
      <c r="D52" s="20">
        <f>D50/C34-1</f>
        <v>0.5316107035</v>
      </c>
    </row>
    <row r="53" ht="15.75" customHeight="1">
      <c r="A53" s="30"/>
      <c r="D53" s="18"/>
    </row>
    <row r="54" ht="15.75" customHeight="1">
      <c r="A54" s="31" t="str">
        <f>"Renditeerwartung bis "&amp;Q9&amp;" pro Jahr"</f>
        <v>Renditeerwartung bis 2032 pro Jahr</v>
      </c>
      <c r="B54" s="32"/>
      <c r="C54" s="32"/>
      <c r="D54" s="33">
        <f>(D50/C34)^(1/10)-1</f>
        <v>0.04355378898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2023-11-01T21:06:40Z</dcterms:created>
  <dc:creator>Tilman Reichel</dc:creator>
</cp:coreProperties>
</file>