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ptimistisch" sheetId="1" r:id="rId4"/>
    <sheet state="visible" name="Pessimistisch" sheetId="2" r:id="rId5"/>
    <sheet state="visible" name="Wachstum für Faire Bewertung" sheetId="3" r:id="rId6"/>
    <sheet state="visible" name="DCF" sheetId="4" r:id="rId7"/>
  </sheets>
  <definedNames/>
  <calcPr/>
  <extLst>
    <ext uri="GoogleSheetsCustomDataVersion2">
      <go:sheetsCustomData xmlns:go="http://customooxmlschemas.google.com/" r:id="rId8" roundtripDataChecksum="4MBl1dsdNYOorzJ9+dHx5Q1VXjrbrvHX9qAfxSV9FzY="/>
    </ext>
  </extLst>
</workbook>
</file>

<file path=xl/sharedStrings.xml><?xml version="1.0" encoding="utf-8"?>
<sst xmlns="http://schemas.openxmlformats.org/spreadsheetml/2006/main" count="118" uniqueCount="41">
  <si>
    <t>Discounted Net-Profit Modell</t>
  </si>
  <si>
    <t>Annahmen für Digia</t>
  </si>
  <si>
    <t>Alle Angaben in Mio.</t>
  </si>
  <si>
    <t>Schätzungen »</t>
  </si>
  <si>
    <t>Umsatz</t>
  </si>
  <si>
    <t>Umsatzwachstum</t>
  </si>
  <si>
    <t>-</t>
  </si>
  <si>
    <t>EBIT Marge</t>
  </si>
  <si>
    <t>EBIT</t>
  </si>
  <si>
    <t>Gewinn (abzgl. Steuern, Zinsen)</t>
  </si>
  <si>
    <t>Anzahl an Aktien (abzgl. Aktienrückkäufe)</t>
  </si>
  <si>
    <t>Gewinn je Aktie</t>
  </si>
  <si>
    <t>Abgezinster Gewinn</t>
  </si>
  <si>
    <t>Berechnung der Eigenkapitalkosten:</t>
  </si>
  <si>
    <t>Risikoloser Basiszins:</t>
  </si>
  <si>
    <t>Risikoprämie:</t>
  </si>
  <si>
    <t>Marktrendite:</t>
  </si>
  <si>
    <t>Beta-Faktor:</t>
  </si>
  <si>
    <t>Eigenkapitalkosten:</t>
  </si>
  <si>
    <t>Fairer Wert</t>
  </si>
  <si>
    <t>Bewertung</t>
  </si>
  <si>
    <t>Marktkapitalisierung</t>
  </si>
  <si>
    <t>Anzahl an Aktien</t>
  </si>
  <si>
    <t>Kurs je Aktie</t>
  </si>
  <si>
    <t>Unterbewertung</t>
  </si>
  <si>
    <t>Überbewertung</t>
  </si>
  <si>
    <t>Berechnung der Renditeerwartung:</t>
  </si>
  <si>
    <t>Durchschnittliche Ausschüttungsquote:</t>
  </si>
  <si>
    <t>Ausgeschüttete Gewinne:</t>
  </si>
  <si>
    <t>Quellensteuer</t>
  </si>
  <si>
    <t>Discounted Cashflow Modell</t>
  </si>
  <si>
    <t>Free Cashflow Marge</t>
  </si>
  <si>
    <t>Free Cashflow</t>
  </si>
  <si>
    <t>Abgezinster Free Cashflow</t>
  </si>
  <si>
    <t>Berechnung der WACC:</t>
  </si>
  <si>
    <t>Marktkapitalisierung:</t>
  </si>
  <si>
    <t>Verzinstes Fremdkapital:</t>
  </si>
  <si>
    <t>Zinsrate (durchschnittlich):</t>
  </si>
  <si>
    <t>Steuerrate (durchschnittlich):</t>
  </si>
  <si>
    <t>WACC:</t>
  </si>
  <si>
    <t>Wachstumsabschlag: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</si>
</sst>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Calibri"/>
      <scheme val="minor"/>
    </font>
    <font>
      <b/>
      <sz val="20.0"/>
      <color theme="1"/>
      <name val="Calibri"/>
    </font>
    <font>
      <color theme="1"/>
      <name val="Calibri"/>
      <scheme val="minor"/>
    </font>
    <font>
      <sz val="12.0"/>
      <color theme="1"/>
      <name val="Calibri"/>
    </font>
    <font>
      <sz val="12.0"/>
      <color theme="0"/>
      <name val="Calibri"/>
    </font>
    <font>
      <u/>
      <sz val="12.0"/>
      <color theme="1"/>
      <name val="Calibri"/>
    </font>
    <font>
      <u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7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Border="1" applyFill="1" applyFont="1"/>
    <xf borderId="1" fillId="2" fontId="4" numFmtId="0" xfId="0" applyBorder="1" applyFont="1"/>
    <xf borderId="1" fillId="3" fontId="3" numFmtId="0" xfId="0" applyBorder="1" applyFill="1" applyFont="1"/>
    <xf borderId="1" fillId="3" fontId="3" numFmtId="0" xfId="0" applyAlignment="1" applyBorder="1" applyFont="1">
      <alignment horizontal="right"/>
    </xf>
    <xf borderId="0" fillId="0" fontId="3" numFmtId="2" xfId="0" applyFont="1" applyNumberFormat="1"/>
    <xf borderId="1" fillId="3" fontId="3" numFmtId="2" xfId="0" applyBorder="1" applyFont="1" applyNumberFormat="1"/>
    <xf borderId="0" fillId="0" fontId="3" numFmtId="0" xfId="0" applyAlignment="1" applyFont="1">
      <alignment horizontal="right"/>
    </xf>
    <xf borderId="0" fillId="0" fontId="3" numFmtId="10" xfId="0" applyFont="1" applyNumberFormat="1"/>
    <xf borderId="1" fillId="3" fontId="3" numFmtId="10" xfId="0" applyBorder="1" applyFont="1" applyNumberFormat="1"/>
    <xf borderId="2" fillId="0" fontId="3" numFmtId="0" xfId="0" applyBorder="1" applyFont="1"/>
    <xf borderId="3" fillId="0" fontId="3" numFmtId="0" xfId="0" applyBorder="1" applyFont="1"/>
    <xf borderId="4" fillId="4" fontId="3" numFmtId="2" xfId="0" applyBorder="1" applyFill="1" applyFont="1" applyNumberFormat="1"/>
    <xf borderId="5" fillId="4" fontId="3" numFmtId="2" xfId="0" applyBorder="1" applyFont="1" applyNumberFormat="1"/>
    <xf borderId="6" fillId="0" fontId="5" numFmtId="0" xfId="0" applyBorder="1" applyFont="1"/>
    <xf borderId="7" fillId="0" fontId="3" numFmtId="0" xfId="0" applyBorder="1" applyFont="1"/>
    <xf borderId="8" fillId="0" fontId="3" numFmtId="0" xfId="0" applyBorder="1" applyFont="1"/>
    <xf borderId="8" fillId="0" fontId="3" numFmtId="10" xfId="0" applyAlignment="1" applyBorder="1" applyFont="1" applyNumberFormat="1">
      <alignment readingOrder="0"/>
    </xf>
    <xf borderId="8" fillId="0" fontId="3" numFmtId="10" xfId="0" applyBorder="1" applyFont="1" applyNumberFormat="1"/>
    <xf borderId="8" fillId="0" fontId="3" numFmtId="2" xfId="0" applyAlignment="1" applyBorder="1" applyFont="1" applyNumberFormat="1">
      <alignment readingOrder="0"/>
    </xf>
    <xf borderId="9" fillId="0" fontId="3" numFmtId="0" xfId="0" applyBorder="1" applyFont="1"/>
    <xf borderId="10" fillId="0" fontId="3" numFmtId="10" xfId="0" applyBorder="1" applyFont="1" applyNumberFormat="1"/>
    <xf borderId="1" fillId="2" fontId="4" numFmtId="14" xfId="0" applyAlignment="1" applyBorder="1" applyFont="1" applyNumberFormat="1">
      <alignment horizontal="right"/>
    </xf>
    <xf borderId="1" fillId="2" fontId="4" numFmtId="0" xfId="0" applyAlignment="1" applyBorder="1" applyFont="1">
      <alignment horizontal="right"/>
    </xf>
    <xf borderId="1" fillId="3" fontId="3" numFmtId="2" xfId="0" applyAlignment="1" applyBorder="1" applyFont="1" applyNumberFormat="1">
      <alignment readingOrder="0"/>
    </xf>
    <xf borderId="1" fillId="4" fontId="3" numFmtId="0" xfId="0" applyBorder="1" applyFont="1"/>
    <xf borderId="11" fillId="0" fontId="6" numFmtId="0" xfId="0" applyBorder="1" applyFont="1"/>
    <xf borderId="6" fillId="0" fontId="3" numFmtId="0" xfId="0" applyBorder="1" applyFont="1"/>
    <xf borderId="12" fillId="0" fontId="3" numFmtId="0" xfId="0" applyBorder="1" applyFont="1"/>
    <xf borderId="8" fillId="0" fontId="3" numFmtId="2" xfId="0" applyBorder="1" applyFont="1" applyNumberFormat="1"/>
    <xf borderId="13" fillId="3" fontId="3" numFmtId="0" xfId="0" applyBorder="1" applyFont="1"/>
    <xf borderId="14" fillId="3" fontId="3" numFmtId="0" xfId="0" applyBorder="1" applyFont="1"/>
    <xf borderId="15" fillId="3" fontId="3" numFmtId="10" xfId="0" applyBorder="1" applyFont="1" applyNumberFormat="1"/>
    <xf borderId="16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">
        <v>1</v>
      </c>
    </row>
    <row r="5" ht="15.75" customHeight="1"/>
    <row r="6" ht="15.75" customHeight="1">
      <c r="B6" s="2" t="s">
        <v>2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v>2019.0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v>131.824</v>
      </c>
      <c r="D10" s="7">
        <v>139.049</v>
      </c>
      <c r="E10" s="7">
        <v>155.939</v>
      </c>
      <c r="F10" s="7">
        <v>170.754</v>
      </c>
      <c r="G10" s="7">
        <v>192.087</v>
      </c>
      <c r="H10" s="8">
        <v>202.7</v>
      </c>
      <c r="I10" s="8">
        <v>210.7</v>
      </c>
      <c r="J10" s="8">
        <v>223.0</v>
      </c>
      <c r="K10" s="8">
        <f t="shared" ref="K10:R10" si="2">J10*(1+K11)</f>
        <v>246.415</v>
      </c>
      <c r="L10" s="8">
        <f t="shared" si="2"/>
        <v>268.59235</v>
      </c>
      <c r="M10" s="8">
        <f t="shared" si="2"/>
        <v>291.4226998</v>
      </c>
      <c r="N10" s="8">
        <f t="shared" si="2"/>
        <v>316.1936292</v>
      </c>
      <c r="O10" s="8">
        <f t="shared" si="2"/>
        <v>330.4223425</v>
      </c>
      <c r="P10" s="8">
        <f t="shared" si="2"/>
        <v>355.2040182</v>
      </c>
      <c r="Q10" s="8">
        <f t="shared" si="2"/>
        <v>374.7402392</v>
      </c>
      <c r="R10" s="8">
        <f t="shared" si="2"/>
        <v>382.235044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0.05480792572</v>
      </c>
      <c r="E11" s="10">
        <f t="shared" si="3"/>
        <v>0.1214679717</v>
      </c>
      <c r="F11" s="10">
        <f t="shared" si="3"/>
        <v>0.09500509815</v>
      </c>
      <c r="G11" s="10">
        <f t="shared" si="3"/>
        <v>0.1249341157</v>
      </c>
      <c r="H11" s="11">
        <f t="shared" si="3"/>
        <v>0.05525100605</v>
      </c>
      <c r="I11" s="11">
        <f t="shared" si="3"/>
        <v>0.0394671929</v>
      </c>
      <c r="J11" s="11">
        <f t="shared" si="3"/>
        <v>0.05837683911</v>
      </c>
      <c r="K11" s="11">
        <v>0.105</v>
      </c>
      <c r="L11" s="11">
        <v>0.09</v>
      </c>
      <c r="M11" s="11">
        <v>0.085</v>
      </c>
      <c r="N11" s="11">
        <v>0.085</v>
      </c>
      <c r="O11" s="11">
        <v>0.045</v>
      </c>
      <c r="P11" s="11">
        <v>0.075</v>
      </c>
      <c r="Q11" s="11">
        <v>0.055</v>
      </c>
      <c r="R11" s="11">
        <v>0.02</v>
      </c>
    </row>
    <row r="12" ht="15.75" customHeight="1">
      <c r="B12" s="2" t="s">
        <v>7</v>
      </c>
      <c r="C12" s="10">
        <f t="shared" ref="C12:J12" si="4">C13/C10</f>
        <v>0.07318849375</v>
      </c>
      <c r="D12" s="10">
        <f t="shared" si="4"/>
        <v>0.1014174859</v>
      </c>
      <c r="E12" s="10">
        <f t="shared" si="4"/>
        <v>0.09413937501</v>
      </c>
      <c r="F12" s="10">
        <f t="shared" si="4"/>
        <v>0.07453412512</v>
      </c>
      <c r="G12" s="10">
        <f t="shared" si="4"/>
        <v>0.07202465549</v>
      </c>
      <c r="H12" s="11">
        <f t="shared" si="4"/>
        <v>0.0743</v>
      </c>
      <c r="I12" s="11">
        <f t="shared" si="4"/>
        <v>0.0783</v>
      </c>
      <c r="J12" s="11">
        <f t="shared" si="4"/>
        <v>0.0906</v>
      </c>
      <c r="K12" s="11">
        <v>0.0825</v>
      </c>
      <c r="L12" s="11">
        <v>0.0825</v>
      </c>
      <c r="M12" s="11">
        <v>0.085</v>
      </c>
      <c r="N12" s="11">
        <v>0.09</v>
      </c>
      <c r="O12" s="11">
        <v>0.0925</v>
      </c>
      <c r="P12" s="11">
        <v>0.07</v>
      </c>
      <c r="Q12" s="11">
        <v>0.09</v>
      </c>
      <c r="R12" s="11">
        <v>0.095</v>
      </c>
    </row>
    <row r="13" ht="15.75" customHeight="1">
      <c r="B13" s="2" t="s">
        <v>8</v>
      </c>
      <c r="C13" s="7">
        <v>9.648</v>
      </c>
      <c r="D13" s="7">
        <v>14.102</v>
      </c>
      <c r="E13" s="7">
        <v>14.68</v>
      </c>
      <c r="F13" s="7">
        <v>12.727</v>
      </c>
      <c r="G13" s="7">
        <v>13.835</v>
      </c>
      <c r="H13" s="8">
        <v>15.06061</v>
      </c>
      <c r="I13" s="8">
        <v>16.497809999999998</v>
      </c>
      <c r="J13" s="8">
        <v>20.2038</v>
      </c>
      <c r="K13" s="8">
        <f t="shared" ref="K13:R13" si="5">K10*K12</f>
        <v>20.3292375</v>
      </c>
      <c r="L13" s="8">
        <f t="shared" si="5"/>
        <v>22.15886888</v>
      </c>
      <c r="M13" s="8">
        <f t="shared" si="5"/>
        <v>24.77092948</v>
      </c>
      <c r="N13" s="8">
        <f t="shared" si="5"/>
        <v>28.45742663</v>
      </c>
      <c r="O13" s="8">
        <f t="shared" si="5"/>
        <v>30.56406669</v>
      </c>
      <c r="P13" s="8">
        <f t="shared" si="5"/>
        <v>24.86428128</v>
      </c>
      <c r="Q13" s="8">
        <f t="shared" si="5"/>
        <v>33.72662153</v>
      </c>
      <c r="R13" s="8">
        <f t="shared" si="5"/>
        <v>36.31232918</v>
      </c>
    </row>
    <row r="14" ht="15.75" customHeight="1">
      <c r="A14" s="11">
        <v>0.25</v>
      </c>
      <c r="B14" s="2" t="s">
        <v>9</v>
      </c>
      <c r="C14" s="7">
        <v>7.09</v>
      </c>
      <c r="D14" s="7">
        <v>10.627</v>
      </c>
      <c r="E14" s="7">
        <v>11.772</v>
      </c>
      <c r="F14" s="7">
        <v>9.571</v>
      </c>
      <c r="G14" s="7">
        <v>9.872</v>
      </c>
      <c r="H14" s="8">
        <v>11.00661</v>
      </c>
      <c r="I14" s="8">
        <v>12.894839999999999</v>
      </c>
      <c r="J14" s="8">
        <v>15.8107</v>
      </c>
      <c r="K14" s="8">
        <f t="shared" ref="K14:R14" si="6">K13*(1-$A$14)</f>
        <v>15.24692813</v>
      </c>
      <c r="L14" s="8">
        <f t="shared" si="6"/>
        <v>16.61915166</v>
      </c>
      <c r="M14" s="8">
        <f t="shared" si="6"/>
        <v>18.57819711</v>
      </c>
      <c r="N14" s="8">
        <f t="shared" si="6"/>
        <v>21.34306997</v>
      </c>
      <c r="O14" s="8">
        <f t="shared" si="6"/>
        <v>22.92305001</v>
      </c>
      <c r="P14" s="8">
        <f t="shared" si="6"/>
        <v>18.64821096</v>
      </c>
      <c r="Q14" s="8">
        <f t="shared" si="6"/>
        <v>25.29496615</v>
      </c>
      <c r="R14" s="8">
        <f t="shared" si="6"/>
        <v>27.23424689</v>
      </c>
    </row>
    <row r="15" ht="15.75" customHeight="1">
      <c r="A15" s="11">
        <v>1.0</v>
      </c>
      <c r="B15" s="2" t="s">
        <v>10</v>
      </c>
      <c r="H15" s="8">
        <f>C33</f>
        <v>26.823723</v>
      </c>
      <c r="I15" s="8">
        <f t="shared" ref="I15:Q15" si="7">H15*$A$15</f>
        <v>26.823723</v>
      </c>
      <c r="J15" s="8">
        <f t="shared" si="7"/>
        <v>26.823723</v>
      </c>
      <c r="K15" s="8">
        <f t="shared" si="7"/>
        <v>26.823723</v>
      </c>
      <c r="L15" s="8">
        <f t="shared" si="7"/>
        <v>26.823723</v>
      </c>
      <c r="M15" s="8">
        <f t="shared" si="7"/>
        <v>26.823723</v>
      </c>
      <c r="N15" s="8">
        <f t="shared" si="7"/>
        <v>26.823723</v>
      </c>
      <c r="O15" s="8">
        <f t="shared" si="7"/>
        <v>26.823723</v>
      </c>
      <c r="P15" s="8">
        <f t="shared" si="7"/>
        <v>26.823723</v>
      </c>
      <c r="Q15" s="8">
        <f t="shared" si="7"/>
        <v>26.823723</v>
      </c>
      <c r="R15" s="6" t="s">
        <v>6</v>
      </c>
    </row>
    <row r="16" ht="15.75" customHeight="1">
      <c r="B16" s="2" t="s">
        <v>11</v>
      </c>
      <c r="H16" s="8">
        <f t="shared" ref="H16:Q16" si="8">H14/H15</f>
        <v>0.4103311833</v>
      </c>
      <c r="I16" s="8">
        <f t="shared" si="8"/>
        <v>0.4807252148</v>
      </c>
      <c r="J16" s="8">
        <f t="shared" si="8"/>
        <v>0.5894297373</v>
      </c>
      <c r="K16" s="8">
        <f t="shared" si="8"/>
        <v>0.5684120778</v>
      </c>
      <c r="L16" s="8">
        <f t="shared" si="8"/>
        <v>0.6195691648</v>
      </c>
      <c r="M16" s="8">
        <f t="shared" si="8"/>
        <v>0.692603227</v>
      </c>
      <c r="N16" s="8">
        <f t="shared" si="8"/>
        <v>0.7956788837</v>
      </c>
      <c r="O16" s="8">
        <f t="shared" si="8"/>
        <v>0.8545812233</v>
      </c>
      <c r="P16" s="8">
        <f t="shared" si="8"/>
        <v>0.6952133735</v>
      </c>
      <c r="Q16" s="8">
        <f t="shared" si="8"/>
        <v>0.9430072831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10.38451915</v>
      </c>
      <c r="I17" s="14">
        <f>I14/(1+$B$29)^2</f>
        <v>11.47840606</v>
      </c>
      <c r="J17" s="14">
        <f>J14/(1+$B$29)^3</f>
        <v>13.2785159</v>
      </c>
      <c r="K17" s="14">
        <f>K14/(1+$B$29)^4</f>
        <v>12.08129825</v>
      </c>
      <c r="L17" s="14">
        <f>L14/(1+$B$29)^5</f>
        <v>12.42432826</v>
      </c>
      <c r="M17" s="14">
        <f>M14/(1+$B$29)^6</f>
        <v>13.10389625</v>
      </c>
      <c r="N17" s="14">
        <f>N14/(1+$B$29)^7</f>
        <v>14.20321238</v>
      </c>
      <c r="O17" s="14">
        <f>O14/(1+$B$29)^8</f>
        <v>14.39245592</v>
      </c>
      <c r="P17" s="14">
        <f>P14/(1+$B$29)^9</f>
        <v>11.04669829</v>
      </c>
      <c r="Q17" s="14">
        <f>Q14/(1+$B$29)^10</f>
        <v>14.13716201</v>
      </c>
      <c r="R17" s="15">
        <f>(R14/(B29-R11))/(1+B29)^10</f>
        <v>381.4254415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19">
        <v>0.02794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0.0319656</v>
      </c>
    </row>
    <row r="24" ht="15.75" customHeight="1">
      <c r="B24" s="18"/>
    </row>
    <row r="25" ht="15.75" customHeight="1">
      <c r="A25" s="2" t="s">
        <v>16</v>
      </c>
      <c r="B25" s="20">
        <v>0.07</v>
      </c>
    </row>
    <row r="26" ht="15.75" customHeight="1">
      <c r="B26" s="18"/>
    </row>
    <row r="27" ht="15.75" customHeight="1">
      <c r="A27" s="2" t="s">
        <v>17</v>
      </c>
      <c r="B27" s="21">
        <v>0.76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0.0599056</v>
      </c>
    </row>
    <row r="30" ht="15.75" customHeight="1"/>
    <row r="31" ht="15.75" customHeight="1">
      <c r="A31" s="3"/>
      <c r="B31" s="3"/>
      <c r="C31" s="24">
        <v>45373.0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139.4833596</v>
      </c>
      <c r="D32" s="8">
        <f>SUM(H17:R17)</f>
        <v>507.955934</v>
      </c>
    </row>
    <row r="33" ht="15.75" customHeight="1">
      <c r="A33" s="5"/>
      <c r="B33" s="5" t="s">
        <v>22</v>
      </c>
      <c r="C33" s="8">
        <f>26.823723</f>
        <v>26.823723</v>
      </c>
      <c r="D33" s="8">
        <f>C33</f>
        <v>26.823723</v>
      </c>
    </row>
    <row r="34" ht="15.75" customHeight="1">
      <c r="A34" s="5"/>
      <c r="B34" s="5" t="s">
        <v>23</v>
      </c>
      <c r="C34" s="26">
        <v>5.2</v>
      </c>
      <c r="D34" s="8">
        <f>D32/D33</f>
        <v>18.93681701</v>
      </c>
    </row>
    <row r="35" ht="15.75" customHeight="1">
      <c r="A35" s="5"/>
      <c r="B35" s="5" t="s">
        <v>24</v>
      </c>
      <c r="C35" s="5"/>
      <c r="D35" s="11">
        <f>IF(C34/D34-1&gt;0,0,C34/D34-1)*-1</f>
        <v>0.7254026378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31">
        <v>16.0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31">
        <f>Q16*D40</f>
        <v>15.08811653</v>
      </c>
    </row>
    <row r="43" ht="15.75" customHeight="1">
      <c r="A43" s="30"/>
      <c r="D43" s="18"/>
    </row>
    <row r="44" ht="15.75" customHeight="1">
      <c r="A44" s="30" t="s">
        <v>27</v>
      </c>
      <c r="D44" s="20">
        <v>0.5</v>
      </c>
    </row>
    <row r="45" ht="15.75" customHeight="1">
      <c r="A45" s="30"/>
      <c r="D45" s="18"/>
    </row>
    <row r="46" ht="15.75" customHeight="1">
      <c r="A46" s="30" t="s">
        <v>28</v>
      </c>
      <c r="D46" s="31">
        <f>D44*SUM(H16:Q16)</f>
        <v>3.324775684</v>
      </c>
    </row>
    <row r="47" ht="15.75" customHeight="1">
      <c r="A47" s="30"/>
      <c r="D47" s="18"/>
    </row>
    <row r="48" ht="15.75" customHeight="1">
      <c r="A48" s="30" t="s">
        <v>29</v>
      </c>
      <c r="D48" s="20"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31">
        <f>D42+D46*(1-D48)</f>
        <v>17.91417586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2.445033819</v>
      </c>
    </row>
    <row r="53" ht="15.75" customHeight="1">
      <c r="A53" s="30"/>
      <c r="D53" s="18"/>
    </row>
    <row r="54" ht="15.75" customHeight="1">
      <c r="A54" s="32" t="str">
        <f>"Renditeerwartung bis "&amp;Q9&amp;" pro Jahr"</f>
        <v>Renditeerwartung bis 2033 pro Jahr</v>
      </c>
      <c r="B54" s="33"/>
      <c r="C54" s="33"/>
      <c r="D54" s="34">
        <f>(D50/C34)^(1/10)-1</f>
        <v>0.1316688166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Digia</v>
      </c>
    </row>
    <row r="5" ht="15.75" customHeight="1"/>
    <row r="6" ht="15.75" customHeight="1">
      <c r="B6" s="2" t="str">
        <f>Optimistisch!B6</f>
        <v>Alle Angaben in Mio.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131.824</v>
      </c>
      <c r="D10" s="7">
        <f>Optimistisch!D10</f>
        <v>139.049</v>
      </c>
      <c r="E10" s="7">
        <f>Optimistisch!E10</f>
        <v>155.939</v>
      </c>
      <c r="F10" s="7">
        <f>Optimistisch!F10</f>
        <v>170.754</v>
      </c>
      <c r="G10" s="7">
        <f>Optimistisch!G10</f>
        <v>192.087</v>
      </c>
      <c r="H10" s="8">
        <f>Optimistisch!H10</f>
        <v>202.7</v>
      </c>
      <c r="I10" s="8">
        <f>Optimistisch!I10</f>
        <v>210.7</v>
      </c>
      <c r="J10" s="8">
        <f>Optimistisch!J10</f>
        <v>223</v>
      </c>
      <c r="K10" s="8">
        <f t="shared" ref="K10:R10" si="2">J10*(1+K11)</f>
        <v>241.955</v>
      </c>
      <c r="L10" s="8">
        <f t="shared" si="2"/>
        <v>260.101625</v>
      </c>
      <c r="M10" s="8">
        <f t="shared" si="2"/>
        <v>269.2051819</v>
      </c>
      <c r="N10" s="8">
        <f t="shared" si="2"/>
        <v>288.0495446</v>
      </c>
      <c r="O10" s="8">
        <f t="shared" si="2"/>
        <v>299.5715264</v>
      </c>
      <c r="P10" s="8">
        <f t="shared" si="2"/>
        <v>316.0479603</v>
      </c>
      <c r="Q10" s="8">
        <f t="shared" si="2"/>
        <v>328.6898788</v>
      </c>
      <c r="R10" s="8">
        <f t="shared" si="2"/>
        <v>331.9767775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0.05480792572</v>
      </c>
      <c r="E11" s="10">
        <f t="shared" si="3"/>
        <v>0.1214679717</v>
      </c>
      <c r="F11" s="10">
        <f t="shared" si="3"/>
        <v>0.09500509815</v>
      </c>
      <c r="G11" s="10">
        <f t="shared" si="3"/>
        <v>0.1249341157</v>
      </c>
      <c r="H11" s="11">
        <f t="shared" si="3"/>
        <v>0.05525100605</v>
      </c>
      <c r="I11" s="11">
        <f t="shared" si="3"/>
        <v>0.0394671929</v>
      </c>
      <c r="J11" s="11">
        <f t="shared" si="3"/>
        <v>0.05837683911</v>
      </c>
      <c r="K11" s="11">
        <v>0.085</v>
      </c>
      <c r="L11" s="11">
        <v>0.075</v>
      </c>
      <c r="M11" s="11">
        <v>0.035</v>
      </c>
      <c r="N11" s="11">
        <v>0.07</v>
      </c>
      <c r="O11" s="11">
        <v>0.04</v>
      </c>
      <c r="P11" s="11">
        <v>0.055</v>
      </c>
      <c r="Q11" s="11">
        <v>0.04</v>
      </c>
      <c r="R11" s="11">
        <v>0.01</v>
      </c>
    </row>
    <row r="12" ht="15.75" customHeight="1">
      <c r="B12" s="2" t="s">
        <v>7</v>
      </c>
      <c r="C12" s="10">
        <f t="shared" ref="C12:J12" si="4">C13/C10</f>
        <v>0.07318849375</v>
      </c>
      <c r="D12" s="10">
        <f t="shared" si="4"/>
        <v>0.1014174859</v>
      </c>
      <c r="E12" s="10">
        <f t="shared" si="4"/>
        <v>0.09413937501</v>
      </c>
      <c r="F12" s="10">
        <f t="shared" si="4"/>
        <v>0.07453412512</v>
      </c>
      <c r="G12" s="10">
        <f t="shared" si="4"/>
        <v>0.07202465549</v>
      </c>
      <c r="H12" s="11">
        <f t="shared" si="4"/>
        <v>0.0743</v>
      </c>
      <c r="I12" s="11">
        <f t="shared" si="4"/>
        <v>0.0783</v>
      </c>
      <c r="J12" s="11">
        <f t="shared" si="4"/>
        <v>0.0906</v>
      </c>
      <c r="K12" s="11">
        <v>0.08</v>
      </c>
      <c r="L12" s="11">
        <v>0.055</v>
      </c>
      <c r="M12" s="11">
        <v>-0.025</v>
      </c>
      <c r="N12" s="11">
        <v>0.07</v>
      </c>
      <c r="O12" s="11">
        <v>0.065</v>
      </c>
      <c r="P12" s="11">
        <v>0.035</v>
      </c>
      <c r="Q12" s="11">
        <v>0.0625</v>
      </c>
      <c r="R12" s="11">
        <v>0.055</v>
      </c>
    </row>
    <row r="13" ht="15.75" customHeight="1">
      <c r="B13" s="2" t="s">
        <v>8</v>
      </c>
      <c r="C13" s="7">
        <f>Optimistisch!C13</f>
        <v>9.648</v>
      </c>
      <c r="D13" s="7">
        <f>Optimistisch!D13</f>
        <v>14.102</v>
      </c>
      <c r="E13" s="7">
        <f>Optimistisch!E13</f>
        <v>14.68</v>
      </c>
      <c r="F13" s="7">
        <f>Optimistisch!F13</f>
        <v>12.727</v>
      </c>
      <c r="G13" s="7">
        <f>Optimistisch!G13</f>
        <v>13.835</v>
      </c>
      <c r="H13" s="8">
        <f>Optimistisch!H13</f>
        <v>15.06061</v>
      </c>
      <c r="I13" s="8">
        <f>Optimistisch!I13</f>
        <v>16.49781</v>
      </c>
      <c r="J13" s="8">
        <f>Optimistisch!J13</f>
        <v>20.2038</v>
      </c>
      <c r="K13" s="8">
        <f t="shared" ref="K13:R13" si="5">K10*K12</f>
        <v>19.3564</v>
      </c>
      <c r="L13" s="8">
        <f t="shared" si="5"/>
        <v>14.30558938</v>
      </c>
      <c r="M13" s="8">
        <f t="shared" si="5"/>
        <v>-6.730129547</v>
      </c>
      <c r="N13" s="8">
        <f t="shared" si="5"/>
        <v>20.16346812</v>
      </c>
      <c r="O13" s="8">
        <f t="shared" si="5"/>
        <v>19.47214922</v>
      </c>
      <c r="P13" s="8">
        <f t="shared" si="5"/>
        <v>11.06167861</v>
      </c>
      <c r="Q13" s="8">
        <f t="shared" si="5"/>
        <v>20.54311742</v>
      </c>
      <c r="R13" s="8">
        <f t="shared" si="5"/>
        <v>18.25872276</v>
      </c>
    </row>
    <row r="14" ht="15.75" customHeight="1">
      <c r="A14" s="11">
        <v>0.3</v>
      </c>
      <c r="B14" s="2" t="s">
        <v>9</v>
      </c>
      <c r="C14" s="7">
        <f>Optimistisch!C14</f>
        <v>7.09</v>
      </c>
      <c r="D14" s="7">
        <f>Optimistisch!D14</f>
        <v>10.627</v>
      </c>
      <c r="E14" s="7">
        <f>Optimistisch!E14</f>
        <v>11.772</v>
      </c>
      <c r="F14" s="7">
        <f>Optimistisch!F14</f>
        <v>9.571</v>
      </c>
      <c r="G14" s="7">
        <f>Optimistisch!G14</f>
        <v>9.872</v>
      </c>
      <c r="H14" s="8">
        <f>Optimistisch!H14</f>
        <v>11.00661</v>
      </c>
      <c r="I14" s="8">
        <f>Optimistisch!I14</f>
        <v>12.89484</v>
      </c>
      <c r="J14" s="8">
        <f>Optimistisch!J14</f>
        <v>15.8107</v>
      </c>
      <c r="K14" s="8">
        <f t="shared" ref="K14:R14" si="6">K13*(1-$A$14)</f>
        <v>13.54948</v>
      </c>
      <c r="L14" s="8">
        <f t="shared" si="6"/>
        <v>10.01391256</v>
      </c>
      <c r="M14" s="8">
        <f t="shared" si="6"/>
        <v>-4.711090683</v>
      </c>
      <c r="N14" s="8">
        <f t="shared" si="6"/>
        <v>14.11442769</v>
      </c>
      <c r="O14" s="8">
        <f t="shared" si="6"/>
        <v>13.63050445</v>
      </c>
      <c r="P14" s="8">
        <f t="shared" si="6"/>
        <v>7.743175028</v>
      </c>
      <c r="Q14" s="8">
        <f t="shared" si="6"/>
        <v>14.3801822</v>
      </c>
      <c r="R14" s="8">
        <f t="shared" si="6"/>
        <v>12.78110594</v>
      </c>
    </row>
    <row r="15" ht="15.75" customHeight="1">
      <c r="A15" s="11">
        <v>1.0</v>
      </c>
      <c r="B15" s="2" t="s">
        <v>10</v>
      </c>
      <c r="H15" s="8">
        <f>C33</f>
        <v>26.823723</v>
      </c>
      <c r="I15" s="8">
        <f t="shared" ref="I15:Q15" si="7">H15*$A$15</f>
        <v>26.823723</v>
      </c>
      <c r="J15" s="8">
        <f t="shared" si="7"/>
        <v>26.823723</v>
      </c>
      <c r="K15" s="8">
        <f t="shared" si="7"/>
        <v>26.823723</v>
      </c>
      <c r="L15" s="8">
        <f t="shared" si="7"/>
        <v>26.823723</v>
      </c>
      <c r="M15" s="8">
        <f t="shared" si="7"/>
        <v>26.823723</v>
      </c>
      <c r="N15" s="8">
        <f t="shared" si="7"/>
        <v>26.823723</v>
      </c>
      <c r="O15" s="8">
        <f t="shared" si="7"/>
        <v>26.823723</v>
      </c>
      <c r="P15" s="8">
        <f t="shared" si="7"/>
        <v>26.823723</v>
      </c>
      <c r="Q15" s="8">
        <f t="shared" si="7"/>
        <v>26.823723</v>
      </c>
      <c r="R15" s="6" t="s">
        <v>6</v>
      </c>
    </row>
    <row r="16" ht="15.75" customHeight="1">
      <c r="B16" s="2" t="s">
        <v>11</v>
      </c>
      <c r="H16" s="8">
        <f t="shared" ref="H16:Q16" si="8">H14/H15</f>
        <v>0.4103311833</v>
      </c>
      <c r="I16" s="8">
        <f t="shared" si="8"/>
        <v>0.4807252148</v>
      </c>
      <c r="J16" s="8">
        <f t="shared" si="8"/>
        <v>0.5894297373</v>
      </c>
      <c r="K16" s="8">
        <f t="shared" si="8"/>
        <v>0.5051304772</v>
      </c>
      <c r="L16" s="8">
        <f t="shared" si="8"/>
        <v>0.3733229933</v>
      </c>
      <c r="M16" s="8">
        <f t="shared" si="8"/>
        <v>-0.1756314991</v>
      </c>
      <c r="N16" s="8">
        <f t="shared" si="8"/>
        <v>0.5261919714</v>
      </c>
      <c r="O16" s="8">
        <f t="shared" si="8"/>
        <v>0.5081511038</v>
      </c>
      <c r="P16" s="8">
        <f t="shared" si="8"/>
        <v>0.2886689155</v>
      </c>
      <c r="Q16" s="8">
        <f t="shared" si="8"/>
        <v>0.5360994145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10.38451915</v>
      </c>
      <c r="I17" s="14">
        <f>I14/(1+$B$29)^2</f>
        <v>11.47840606</v>
      </c>
      <c r="J17" s="14">
        <f>J14/(1+$B$29)^3</f>
        <v>13.2785159</v>
      </c>
      <c r="K17" s="14">
        <f>K14/(1+$B$29)^4</f>
        <v>10.73628128</v>
      </c>
      <c r="L17" s="14">
        <f>L14/(1+$B$29)^5</f>
        <v>7.486310938</v>
      </c>
      <c r="M17" s="14">
        <f>M14/(1+$B$29)^6</f>
        <v>-3.3229082</v>
      </c>
      <c r="N17" s="14">
        <f>N14/(1+$B$29)^7</f>
        <v>9.392754381</v>
      </c>
      <c r="O17" s="14">
        <f>O14/(1+$B$29)^8</f>
        <v>8.558042421</v>
      </c>
      <c r="P17" s="14">
        <f>P14/(1+$B$29)^9</f>
        <v>4.586848495</v>
      </c>
      <c r="Q17" s="14">
        <f>Q14/(1+$B$29)^10</f>
        <v>8.036973217</v>
      </c>
      <c r="R17" s="15">
        <f>(R14/(B29-R11))/(1+B29)^10</f>
        <v>143.1354757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0.02794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0.0319656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31">
        <f>Optimistisch!B27</f>
        <v>0.76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0.0599056</v>
      </c>
    </row>
    <row r="30" ht="15.75" customHeight="1"/>
    <row r="31" ht="15.75" customHeight="1">
      <c r="A31" s="3"/>
      <c r="B31" s="3"/>
      <c r="C31" s="24">
        <f>Optimistisch!C31</f>
        <v>45373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139.4833596</v>
      </c>
      <c r="D32" s="8">
        <f>SUM(H17:R17)</f>
        <v>223.7512193</v>
      </c>
    </row>
    <row r="33" ht="15.75" customHeight="1">
      <c r="A33" s="5"/>
      <c r="B33" s="5" t="s">
        <v>22</v>
      </c>
      <c r="C33" s="8">
        <f>Optimistisch!C33</f>
        <v>26.823723</v>
      </c>
      <c r="D33" s="8">
        <f>C33</f>
        <v>26.823723</v>
      </c>
    </row>
    <row r="34" ht="15.75" customHeight="1">
      <c r="A34" s="5"/>
      <c r="B34" s="5" t="s">
        <v>23</v>
      </c>
      <c r="C34" s="8">
        <f>Optimistisch!C34</f>
        <v>5.2</v>
      </c>
      <c r="D34" s="8">
        <f>D32/D33</f>
        <v>8.341542273</v>
      </c>
    </row>
    <row r="35" ht="15.75" customHeight="1">
      <c r="A35" s="5"/>
      <c r="B35" s="5" t="s">
        <v>24</v>
      </c>
      <c r="C35" s="5"/>
      <c r="D35" s="11">
        <f>IF(C34/D34-1&gt;0,0,C34/D34-1)*-1</f>
        <v>0.3766140805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31">
        <v>12.0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31">
        <f>Q16*D40</f>
        <v>6.433192974</v>
      </c>
    </row>
    <row r="43" ht="15.75" customHeight="1">
      <c r="A43" s="30"/>
      <c r="D43" s="18"/>
    </row>
    <row r="44" ht="15.75" customHeight="1">
      <c r="A44" s="30" t="s">
        <v>27</v>
      </c>
      <c r="D44" s="20">
        <v>0.35</v>
      </c>
    </row>
    <row r="45" ht="15.75" customHeight="1">
      <c r="A45" s="30"/>
      <c r="D45" s="18"/>
    </row>
    <row r="46" ht="15.75" customHeight="1">
      <c r="A46" s="30" t="s">
        <v>28</v>
      </c>
      <c r="D46" s="31">
        <f>D44*SUM(H16:Q16)</f>
        <v>1.414846829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31">
        <f>D42+D46*(1-D48)</f>
        <v>7.635812779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0.4684255344</v>
      </c>
    </row>
    <row r="53" ht="15.75" customHeight="1">
      <c r="A53" s="30"/>
      <c r="D53" s="18"/>
    </row>
    <row r="54" ht="15.75" customHeight="1">
      <c r="A54" s="32" t="str">
        <f>"Renditeerwartung bis "&amp;Q9&amp;" pro Jahr"</f>
        <v>Renditeerwartung bis 2033 pro Jahr</v>
      </c>
      <c r="B54" s="33"/>
      <c r="C54" s="33"/>
      <c r="D54" s="34">
        <f>(D50/C34)^(1/10)-1</f>
        <v>0.03916663162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Digia</v>
      </c>
    </row>
    <row r="5" ht="15.75" customHeight="1"/>
    <row r="6" ht="15.75" customHeight="1">
      <c r="B6" s="2" t="str">
        <f>Optimistisch!B6</f>
        <v>Alle Angaben in Mio.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131.824</v>
      </c>
      <c r="D10" s="7">
        <f>Optimistisch!D10</f>
        <v>139.049</v>
      </c>
      <c r="E10" s="7">
        <f>Optimistisch!E10</f>
        <v>155.939</v>
      </c>
      <c r="F10" s="7">
        <f>Optimistisch!F10</f>
        <v>170.754</v>
      </c>
      <c r="G10" s="7">
        <f>Optimistisch!G10</f>
        <v>192.087</v>
      </c>
      <c r="H10" s="8">
        <f t="shared" ref="H10:R10" si="2">G10*(1+H11)</f>
        <v>176.72004</v>
      </c>
      <c r="I10" s="8">
        <f t="shared" si="2"/>
        <v>162.5824368</v>
      </c>
      <c r="J10" s="8">
        <f t="shared" si="2"/>
        <v>149.5758419</v>
      </c>
      <c r="K10" s="8">
        <f t="shared" si="2"/>
        <v>137.6097745</v>
      </c>
      <c r="L10" s="8">
        <f t="shared" si="2"/>
        <v>126.6009925</v>
      </c>
      <c r="M10" s="8">
        <f t="shared" si="2"/>
        <v>116.4729131</v>
      </c>
      <c r="N10" s="8">
        <f t="shared" si="2"/>
        <v>107.1550801</v>
      </c>
      <c r="O10" s="8">
        <f t="shared" si="2"/>
        <v>98.58267368</v>
      </c>
      <c r="P10" s="8">
        <f t="shared" si="2"/>
        <v>90.69605979</v>
      </c>
      <c r="Q10" s="8">
        <f t="shared" si="2"/>
        <v>83.44037501</v>
      </c>
      <c r="R10" s="8">
        <f t="shared" si="2"/>
        <v>85.10918251</v>
      </c>
    </row>
    <row r="11" ht="15.75" customHeight="1">
      <c r="B11" s="2" t="s">
        <v>5</v>
      </c>
      <c r="C11" s="9" t="s">
        <v>6</v>
      </c>
      <c r="D11" s="10">
        <f t="shared" ref="D11:G11" si="3">D10/C10-1</f>
        <v>0.05480792572</v>
      </c>
      <c r="E11" s="10">
        <f t="shared" si="3"/>
        <v>0.1214679717</v>
      </c>
      <c r="F11" s="10">
        <f t="shared" si="3"/>
        <v>0.09500509815</v>
      </c>
      <c r="G11" s="10">
        <f t="shared" si="3"/>
        <v>0.1249341157</v>
      </c>
      <c r="H11" s="11">
        <v>-0.08</v>
      </c>
      <c r="I11" s="11">
        <f t="shared" ref="I11:Q11" si="4">$H$11</f>
        <v>-0.08</v>
      </c>
      <c r="J11" s="11">
        <f t="shared" si="4"/>
        <v>-0.08</v>
      </c>
      <c r="K11" s="11">
        <f t="shared" si="4"/>
        <v>-0.08</v>
      </c>
      <c r="L11" s="11">
        <f t="shared" si="4"/>
        <v>-0.08</v>
      </c>
      <c r="M11" s="11">
        <f t="shared" si="4"/>
        <v>-0.08</v>
      </c>
      <c r="N11" s="11">
        <f t="shared" si="4"/>
        <v>-0.08</v>
      </c>
      <c r="O11" s="11">
        <f t="shared" si="4"/>
        <v>-0.08</v>
      </c>
      <c r="P11" s="11">
        <f t="shared" si="4"/>
        <v>-0.08</v>
      </c>
      <c r="Q11" s="11">
        <f t="shared" si="4"/>
        <v>-0.08</v>
      </c>
      <c r="R11" s="11">
        <f>Optimistisch!R11</f>
        <v>0.02</v>
      </c>
    </row>
    <row r="12" ht="15.75" customHeight="1">
      <c r="B12" s="2" t="s">
        <v>7</v>
      </c>
      <c r="C12" s="10">
        <f t="shared" ref="C12:G12" si="5">C13/C10</f>
        <v>0.07318849375</v>
      </c>
      <c r="D12" s="10">
        <f t="shared" si="5"/>
        <v>0.1014174859</v>
      </c>
      <c r="E12" s="10">
        <f t="shared" si="5"/>
        <v>0.09413937501</v>
      </c>
      <c r="F12" s="10">
        <f t="shared" si="5"/>
        <v>0.07453412512</v>
      </c>
      <c r="G12" s="10">
        <f t="shared" si="5"/>
        <v>0.07202465549</v>
      </c>
      <c r="H12" s="11">
        <f>Optimistisch!H12</f>
        <v>0.0743</v>
      </c>
      <c r="I12" s="11">
        <f>Optimistisch!I12</f>
        <v>0.0783</v>
      </c>
      <c r="J12" s="11">
        <f>Optimistisch!J12</f>
        <v>0.0906</v>
      </c>
      <c r="K12" s="11">
        <f>Optimistisch!K12</f>
        <v>0.0825</v>
      </c>
      <c r="L12" s="11">
        <f>Optimistisch!L12</f>
        <v>0.0825</v>
      </c>
      <c r="M12" s="11">
        <f>Optimistisch!M12</f>
        <v>0.085</v>
      </c>
      <c r="N12" s="11">
        <f>Optimistisch!N12</f>
        <v>0.09</v>
      </c>
      <c r="O12" s="11">
        <f>Optimistisch!O12</f>
        <v>0.0925</v>
      </c>
      <c r="P12" s="11">
        <f>Optimistisch!P12</f>
        <v>0.07</v>
      </c>
      <c r="Q12" s="11">
        <f>Optimistisch!Q12</f>
        <v>0.09</v>
      </c>
      <c r="R12" s="11">
        <f>Optimistisch!R12</f>
        <v>0.095</v>
      </c>
    </row>
    <row r="13" ht="15.75" customHeight="1">
      <c r="B13" s="2" t="s">
        <v>8</v>
      </c>
      <c r="C13" s="7">
        <f>Optimistisch!C13</f>
        <v>9.648</v>
      </c>
      <c r="D13" s="7">
        <f>Optimistisch!D13</f>
        <v>14.102</v>
      </c>
      <c r="E13" s="7">
        <f>Optimistisch!E13</f>
        <v>14.68</v>
      </c>
      <c r="F13" s="7">
        <f>Optimistisch!F13</f>
        <v>12.727</v>
      </c>
      <c r="G13" s="7">
        <f>Optimistisch!G13</f>
        <v>13.835</v>
      </c>
      <c r="H13" s="8">
        <f t="shared" ref="H13:R13" si="6">H10*H12</f>
        <v>13.13029897</v>
      </c>
      <c r="I13" s="8">
        <f t="shared" si="6"/>
        <v>12.7302048</v>
      </c>
      <c r="J13" s="8">
        <f t="shared" si="6"/>
        <v>13.55157127</v>
      </c>
      <c r="K13" s="8">
        <f t="shared" si="6"/>
        <v>11.3528064</v>
      </c>
      <c r="L13" s="8">
        <f t="shared" si="6"/>
        <v>10.44458189</v>
      </c>
      <c r="M13" s="8">
        <f t="shared" si="6"/>
        <v>9.900197617</v>
      </c>
      <c r="N13" s="8">
        <f t="shared" si="6"/>
        <v>9.643957208</v>
      </c>
      <c r="O13" s="8">
        <f t="shared" si="6"/>
        <v>9.118897316</v>
      </c>
      <c r="P13" s="8">
        <f t="shared" si="6"/>
        <v>6.348724185</v>
      </c>
      <c r="Q13" s="8">
        <f t="shared" si="6"/>
        <v>7.509633751</v>
      </c>
      <c r="R13" s="8">
        <f t="shared" si="6"/>
        <v>8.085372338</v>
      </c>
    </row>
    <row r="14" ht="15.75" customHeight="1">
      <c r="A14" s="11">
        <f>Optimistisch!A14</f>
        <v>0.25</v>
      </c>
      <c r="B14" s="2" t="s">
        <v>9</v>
      </c>
      <c r="C14" s="7">
        <f>Optimistisch!C14</f>
        <v>7.09</v>
      </c>
      <c r="D14" s="7">
        <f>Optimistisch!D14</f>
        <v>10.627</v>
      </c>
      <c r="E14" s="7">
        <f>Optimistisch!E14</f>
        <v>11.772</v>
      </c>
      <c r="F14" s="7">
        <f>Optimistisch!F14</f>
        <v>9.571</v>
      </c>
      <c r="G14" s="7">
        <f>Optimistisch!G14</f>
        <v>9.872</v>
      </c>
      <c r="H14" s="8">
        <f t="shared" ref="H14:R14" si="7">H13*(1-$A$14)</f>
        <v>9.847724229</v>
      </c>
      <c r="I14" s="8">
        <f t="shared" si="7"/>
        <v>9.547653601</v>
      </c>
      <c r="J14" s="8">
        <f t="shared" si="7"/>
        <v>10.16367845</v>
      </c>
      <c r="K14" s="8">
        <f t="shared" si="7"/>
        <v>8.514604798</v>
      </c>
      <c r="L14" s="8">
        <f t="shared" si="7"/>
        <v>7.833436414</v>
      </c>
      <c r="M14" s="8">
        <f t="shared" si="7"/>
        <v>7.425148213</v>
      </c>
      <c r="N14" s="8">
        <f t="shared" si="7"/>
        <v>7.232967906</v>
      </c>
      <c r="O14" s="8">
        <f t="shared" si="7"/>
        <v>6.839172987</v>
      </c>
      <c r="P14" s="8">
        <f t="shared" si="7"/>
        <v>4.761543139</v>
      </c>
      <c r="Q14" s="8">
        <f t="shared" si="7"/>
        <v>5.632225313</v>
      </c>
      <c r="R14" s="8">
        <f t="shared" si="7"/>
        <v>6.064029254</v>
      </c>
    </row>
    <row r="15" ht="15.75" customHeight="1">
      <c r="A15" s="11">
        <f>Optimistisch!A15</f>
        <v>1</v>
      </c>
      <c r="B15" s="2" t="s">
        <v>10</v>
      </c>
      <c r="H15" s="8">
        <f>C33</f>
        <v>26.823723</v>
      </c>
      <c r="I15" s="8">
        <f t="shared" ref="I15:Q15" si="8">H15*$A$15</f>
        <v>26.823723</v>
      </c>
      <c r="J15" s="8">
        <f t="shared" si="8"/>
        <v>26.823723</v>
      </c>
      <c r="K15" s="8">
        <f t="shared" si="8"/>
        <v>26.823723</v>
      </c>
      <c r="L15" s="8">
        <f t="shared" si="8"/>
        <v>26.823723</v>
      </c>
      <c r="M15" s="8">
        <f t="shared" si="8"/>
        <v>26.823723</v>
      </c>
      <c r="N15" s="8">
        <f t="shared" si="8"/>
        <v>26.823723</v>
      </c>
      <c r="O15" s="8">
        <f t="shared" si="8"/>
        <v>26.823723</v>
      </c>
      <c r="P15" s="8">
        <f t="shared" si="8"/>
        <v>26.823723</v>
      </c>
      <c r="Q15" s="8">
        <f t="shared" si="8"/>
        <v>26.823723</v>
      </c>
      <c r="R15" s="6" t="s">
        <v>6</v>
      </c>
    </row>
    <row r="16" ht="15.75" customHeight="1">
      <c r="B16" s="2" t="s">
        <v>11</v>
      </c>
      <c r="H16" s="8">
        <f t="shared" ref="H16:Q16" si="9">H14/H15</f>
        <v>0.3671274203</v>
      </c>
      <c r="I16" s="8">
        <f t="shared" si="9"/>
        <v>0.3559406575</v>
      </c>
      <c r="J16" s="8">
        <f t="shared" si="9"/>
        <v>0.3789063306</v>
      </c>
      <c r="K16" s="8">
        <f t="shared" si="9"/>
        <v>0.3174281511</v>
      </c>
      <c r="L16" s="8">
        <f t="shared" si="9"/>
        <v>0.292033899</v>
      </c>
      <c r="M16" s="8">
        <f t="shared" si="9"/>
        <v>0.2768127382</v>
      </c>
      <c r="N16" s="8">
        <f t="shared" si="9"/>
        <v>0.2696481732</v>
      </c>
      <c r="O16" s="8">
        <f t="shared" si="9"/>
        <v>0.2549673282</v>
      </c>
      <c r="P16" s="8">
        <f t="shared" si="9"/>
        <v>0.1775123885</v>
      </c>
      <c r="Q16" s="8">
        <f t="shared" si="9"/>
        <v>0.2099717967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9.291133313</v>
      </c>
      <c r="I17" s="14">
        <f>I14/(1+$B$29)^2</f>
        <v>8.498891413</v>
      </c>
      <c r="J17" s="14">
        <f>J14/(1+$B$29)^3</f>
        <v>8.535900749</v>
      </c>
      <c r="K17" s="14">
        <f>K14/(1+$B$29)^4</f>
        <v>6.746767561</v>
      </c>
      <c r="L17" s="14">
        <f>L14/(1+$B$29)^5</f>
        <v>5.856206587</v>
      </c>
      <c r="M17" s="14">
        <f>M14/(1+$B$29)^6</f>
        <v>5.237234336</v>
      </c>
      <c r="N17" s="14">
        <f>N14/(1+$B$29)^7</f>
        <v>4.813336573</v>
      </c>
      <c r="O17" s="14">
        <f>O14/(1+$B$29)^8</f>
        <v>4.294040089</v>
      </c>
      <c r="P17" s="14">
        <f>P14/(1+$B$29)^9</f>
        <v>2.820610008</v>
      </c>
      <c r="Q17" s="14">
        <f>Q14/(1+$B$29)^10</f>
        <v>3.147807404</v>
      </c>
      <c r="R17" s="15">
        <f>(R14/(B29-R11))/(1+B29)^10</f>
        <v>84.92891487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0.02794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0.0319656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31">
        <f>Optimistisch!B27</f>
        <v>0.76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0.0599056</v>
      </c>
    </row>
    <row r="30" ht="15.75" customHeight="1"/>
    <row r="31" ht="15.75" customHeight="1">
      <c r="A31" s="3"/>
      <c r="B31" s="3"/>
      <c r="C31" s="24">
        <f>Optimistisch!C31</f>
        <v>45373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139.4833596</v>
      </c>
      <c r="D32" s="8">
        <f>SUM(H17:R17)</f>
        <v>144.1708429</v>
      </c>
    </row>
    <row r="33" ht="15.75" customHeight="1">
      <c r="A33" s="5"/>
      <c r="B33" s="5" t="s">
        <v>22</v>
      </c>
      <c r="C33" s="8">
        <f>Optimistisch!C33</f>
        <v>26.823723</v>
      </c>
      <c r="D33" s="8">
        <f>C33</f>
        <v>26.823723</v>
      </c>
    </row>
    <row r="34" ht="15.75" customHeight="1">
      <c r="A34" s="5"/>
      <c r="B34" s="5" t="s">
        <v>23</v>
      </c>
      <c r="C34" s="8">
        <f>Optimistisch!C34</f>
        <v>5.2</v>
      </c>
      <c r="D34" s="8">
        <f>D32/D33</f>
        <v>5.374751406</v>
      </c>
    </row>
    <row r="35" ht="15.75" customHeight="1">
      <c r="A35" s="5"/>
      <c r="B35" s="5" t="s">
        <v>24</v>
      </c>
      <c r="C35" s="5"/>
      <c r="D35" s="11">
        <f>IF(C34/D34-1&gt;0,0,C34/D34-1)*-1</f>
        <v>0.03251339322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31">
        <v>60.0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31">
        <f>Q16*D40</f>
        <v>12.5983078</v>
      </c>
    </row>
    <row r="43" ht="15.75" customHeight="1">
      <c r="A43" s="30"/>
      <c r="D43" s="18"/>
    </row>
    <row r="44" ht="15.75" customHeight="1">
      <c r="A44" s="30" t="s">
        <v>27</v>
      </c>
      <c r="D44" s="20">
        <f>Optimistisch!D44</f>
        <v>0.5</v>
      </c>
    </row>
    <row r="45" ht="15.75" customHeight="1">
      <c r="A45" s="30"/>
      <c r="D45" s="18"/>
    </row>
    <row r="46" ht="15.75" customHeight="1">
      <c r="A46" s="30" t="s">
        <v>28</v>
      </c>
      <c r="D46" s="31">
        <f>D44*SUM(H16:Q16)</f>
        <v>1.450174442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31">
        <f>D42+D46*(1-D48)</f>
        <v>13.83095608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1.659799246</v>
      </c>
    </row>
    <row r="53" ht="15.75" customHeight="1">
      <c r="A53" s="30"/>
      <c r="D53" s="18"/>
    </row>
    <row r="54" ht="15.75" customHeight="1">
      <c r="A54" s="32" t="str">
        <f>"Renditeerwartung bis "&amp;Q9&amp;" pro Jahr"</f>
        <v>Renditeerwartung bis 2033 pro Jahr</v>
      </c>
      <c r="B54" s="33"/>
      <c r="C54" s="33"/>
      <c r="D54" s="34">
        <f>(D50/C34)^(1/10)-1</f>
        <v>0.102769855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4" width="10.33"/>
    <col customWidth="1" hidden="1" min="15" max="18" width="10.33"/>
    <col customWidth="1" min="19" max="26" width="8.33"/>
  </cols>
  <sheetData>
    <row r="1" ht="15.75" customHeight="1"/>
    <row r="2" ht="15.75" customHeight="1">
      <c r="B2" s="1" t="s">
        <v>30</v>
      </c>
    </row>
    <row r="3" ht="15.75" customHeight="1"/>
    <row r="4" ht="15.75" customHeight="1">
      <c r="B4" s="2" t="str">
        <f>Optimistisch!B4</f>
        <v>Annahmen für Digia</v>
      </c>
    </row>
    <row r="5" ht="15.75" customHeight="1"/>
    <row r="6" ht="15.75" customHeight="1">
      <c r="B6" s="2" t="str">
        <f>Optimistisch!B6</f>
        <v>Alle Angaben in Mio.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</row>
    <row r="9" ht="15.75" customHeight="1">
      <c r="C9" s="2">
        <f>Optimistisch!C9</f>
        <v>2019</v>
      </c>
      <c r="D9" s="2">
        <f t="shared" ref="D9:M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R9" s="9"/>
    </row>
    <row r="10" ht="15.75" customHeight="1">
      <c r="B10" s="2" t="s">
        <v>4</v>
      </c>
      <c r="C10" s="7">
        <f>Optimistisch!C10</f>
        <v>131.824</v>
      </c>
      <c r="D10" s="7">
        <f>Optimistisch!D10</f>
        <v>139.049</v>
      </c>
      <c r="E10" s="7">
        <f>Optimistisch!E10</f>
        <v>155.939</v>
      </c>
      <c r="F10" s="7">
        <f>Optimistisch!F10</f>
        <v>170.754</v>
      </c>
      <c r="G10" s="7">
        <f>Optimistisch!G10</f>
        <v>192.087</v>
      </c>
      <c r="H10" s="8">
        <f>Optimistisch!H10</f>
        <v>202.7</v>
      </c>
      <c r="I10" s="8">
        <f>Optimistisch!I10</f>
        <v>210.7</v>
      </c>
      <c r="J10" s="8">
        <f>Optimistisch!J10</f>
        <v>223</v>
      </c>
      <c r="K10" s="8">
        <f>(Optimistisch!K10+Pessimistisch!K10)/2</f>
        <v>244.185</v>
      </c>
      <c r="L10" s="8">
        <f>(Optimistisch!L10+Pessimistisch!L10)/2</f>
        <v>264.3469875</v>
      </c>
      <c r="M10" s="8">
        <f>(Optimistisch!M10+Pessimistisch!M10)/2</f>
        <v>280.3139408</v>
      </c>
      <c r="N10" s="7"/>
      <c r="O10" s="7"/>
      <c r="P10" s="7"/>
      <c r="Q10" s="7"/>
      <c r="R10" s="7"/>
    </row>
    <row r="11" ht="15.75" customHeight="1">
      <c r="B11" s="2" t="s">
        <v>31</v>
      </c>
      <c r="C11" s="10">
        <f t="shared" ref="C11:G11" si="2">C12/C10</f>
        <v>0.09163733463</v>
      </c>
      <c r="D11" s="10">
        <f t="shared" si="2"/>
        <v>0.134700717</v>
      </c>
      <c r="E11" s="10">
        <f t="shared" si="2"/>
        <v>0.09542192781</v>
      </c>
      <c r="F11" s="10">
        <f t="shared" si="2"/>
        <v>0.07660142661</v>
      </c>
      <c r="G11" s="10">
        <f t="shared" si="2"/>
        <v>0.08806946852</v>
      </c>
      <c r="H11" s="11">
        <v>0.0794</v>
      </c>
      <c r="I11" s="11">
        <v>0.0807</v>
      </c>
      <c r="J11" s="11">
        <v>0.0812</v>
      </c>
      <c r="K11" s="11">
        <v>0.045</v>
      </c>
      <c r="L11" s="11">
        <v>0.085</v>
      </c>
      <c r="M11" s="11">
        <v>0.075</v>
      </c>
      <c r="N11" s="10"/>
      <c r="O11" s="10"/>
      <c r="P11" s="10"/>
      <c r="Q11" s="10"/>
      <c r="R11" s="10"/>
    </row>
    <row r="12" ht="15.75" customHeight="1">
      <c r="B12" s="2" t="s">
        <v>32</v>
      </c>
      <c r="C12" s="7">
        <v>12.08</v>
      </c>
      <c r="D12" s="7">
        <v>18.73</v>
      </c>
      <c r="E12" s="7">
        <v>14.88</v>
      </c>
      <c r="F12" s="7">
        <v>13.08</v>
      </c>
      <c r="G12" s="7">
        <v>16.917</v>
      </c>
      <c r="H12" s="8">
        <f t="shared" ref="H12:M12" si="3">H10*H11</f>
        <v>16.09438</v>
      </c>
      <c r="I12" s="8">
        <f t="shared" si="3"/>
        <v>17.00349</v>
      </c>
      <c r="J12" s="8">
        <f t="shared" si="3"/>
        <v>18.1076</v>
      </c>
      <c r="K12" s="8">
        <f t="shared" si="3"/>
        <v>10.988325</v>
      </c>
      <c r="L12" s="8">
        <f t="shared" si="3"/>
        <v>22.46949394</v>
      </c>
      <c r="M12" s="8">
        <f t="shared" si="3"/>
        <v>21.02354556</v>
      </c>
      <c r="N12" s="7"/>
      <c r="O12" s="7"/>
      <c r="P12" s="7"/>
      <c r="Q12" s="7"/>
      <c r="R12" s="7"/>
    </row>
    <row r="13" ht="15.75" customHeight="1">
      <c r="F13" s="12" t="s">
        <v>33</v>
      </c>
      <c r="G13" s="13"/>
      <c r="H13" s="14">
        <f>H12/(1+$B$37)</f>
        <v>15.22887721</v>
      </c>
      <c r="I13" s="14">
        <f>I12/(1+$B$37)^2</f>
        <v>15.22387952</v>
      </c>
      <c r="J13" s="14">
        <f>J12/(1+$B$37)^3</f>
        <v>15.3405805</v>
      </c>
      <c r="K13" s="14">
        <f>K12/(1+$B$37)^4</f>
        <v>8.808582611</v>
      </c>
      <c r="L13" s="14">
        <f>L12/(1+$B$37)^5</f>
        <v>17.04360502</v>
      </c>
      <c r="M13" s="15">
        <f>(M12/(B37-B39))/(1+B37)^5</f>
        <v>381.2019498</v>
      </c>
      <c r="N13" s="7"/>
      <c r="O13" s="7"/>
      <c r="P13" s="7"/>
      <c r="Q13" s="7"/>
      <c r="R13" s="7"/>
    </row>
    <row r="14" ht="15.75" customHeight="1"/>
    <row r="15" ht="15.75" customHeight="1">
      <c r="A15" s="16" t="s">
        <v>13</v>
      </c>
      <c r="B15" s="17"/>
    </row>
    <row r="16" ht="15.75" customHeight="1">
      <c r="B16" s="18"/>
    </row>
    <row r="17" ht="15.75" customHeight="1">
      <c r="A17" s="2" t="s">
        <v>14</v>
      </c>
      <c r="B17" s="20">
        <f>Optimistisch!B21</f>
        <v>0.02794</v>
      </c>
    </row>
    <row r="18" ht="15.75" customHeight="1">
      <c r="B18" s="18"/>
    </row>
    <row r="19" ht="15.75" customHeight="1">
      <c r="A19" s="2" t="s">
        <v>15</v>
      </c>
      <c r="B19" s="20">
        <f>(B21-B17)*B23</f>
        <v>0.0319656</v>
      </c>
    </row>
    <row r="20" ht="15.75" customHeight="1">
      <c r="B20" s="18"/>
    </row>
    <row r="21" ht="15.75" customHeight="1">
      <c r="A21" s="2" t="s">
        <v>16</v>
      </c>
      <c r="B21" s="20">
        <f>Optimistisch!B25</f>
        <v>0.07</v>
      </c>
    </row>
    <row r="22" ht="15.75" customHeight="1">
      <c r="B22" s="18"/>
    </row>
    <row r="23" ht="15.75" customHeight="1">
      <c r="A23" s="2" t="s">
        <v>17</v>
      </c>
      <c r="B23" s="31">
        <f>Optimistisch!B27</f>
        <v>0.76</v>
      </c>
    </row>
    <row r="24" ht="15.75" customHeight="1">
      <c r="B24" s="18"/>
    </row>
    <row r="25" ht="15.75" customHeight="1">
      <c r="A25" s="22" t="s">
        <v>18</v>
      </c>
      <c r="B25" s="23">
        <f>B17+(B21-B17)*B23</f>
        <v>0.0599056</v>
      </c>
    </row>
    <row r="26" ht="15.75" customHeight="1"/>
    <row r="27" ht="15.75" customHeight="1">
      <c r="A27" s="28" t="s">
        <v>34</v>
      </c>
      <c r="B27" s="17"/>
    </row>
    <row r="28" ht="15.75" customHeight="1">
      <c r="A28" s="30"/>
      <c r="B28" s="18"/>
    </row>
    <row r="29" ht="15.75" customHeight="1">
      <c r="A29" s="30" t="s">
        <v>35</v>
      </c>
      <c r="B29" s="31">
        <f>C42</f>
        <v>139.4833596</v>
      </c>
    </row>
    <row r="30" ht="15.75" customHeight="1">
      <c r="A30" s="30"/>
      <c r="B30" s="18"/>
    </row>
    <row r="31" ht="15.75" customHeight="1">
      <c r="A31" s="30" t="s">
        <v>36</v>
      </c>
      <c r="B31" s="31">
        <v>20.572</v>
      </c>
    </row>
    <row r="32" ht="15.75" customHeight="1">
      <c r="A32" s="30"/>
      <c r="B32" s="18"/>
    </row>
    <row r="33" ht="15.75" customHeight="1">
      <c r="A33" s="30" t="s">
        <v>37</v>
      </c>
      <c r="B33" s="20">
        <v>0.045</v>
      </c>
    </row>
    <row r="34" ht="15.75" customHeight="1">
      <c r="A34" s="30"/>
      <c r="B34" s="18"/>
    </row>
    <row r="35" ht="15.75" customHeight="1">
      <c r="A35" s="30" t="s">
        <v>38</v>
      </c>
      <c r="B35" s="20">
        <v>0.2</v>
      </c>
    </row>
    <row r="36" ht="15.75" customHeight="1">
      <c r="A36" s="30"/>
      <c r="B36" s="18"/>
    </row>
    <row r="37" ht="15.75" customHeight="1">
      <c r="A37" s="35" t="s">
        <v>39</v>
      </c>
      <c r="B37" s="23">
        <f>B25*(B29/(B29+B31))+B33*(B31/(B29+B31))*(1-B35)</f>
        <v>0.05683300059</v>
      </c>
    </row>
    <row r="38" ht="15.75" customHeight="1">
      <c r="B38" s="10"/>
    </row>
    <row r="39" ht="15.75" customHeight="1">
      <c r="A39" s="2" t="s">
        <v>40</v>
      </c>
      <c r="B39" s="10">
        <v>0.015</v>
      </c>
    </row>
    <row r="40" ht="15.75" customHeight="1"/>
    <row r="41" ht="15.75" customHeight="1">
      <c r="A41" s="3"/>
      <c r="B41" s="3"/>
      <c r="C41" s="24">
        <f>Optimistisch!C31</f>
        <v>45373</v>
      </c>
      <c r="D41" s="25" t="s">
        <v>19</v>
      </c>
    </row>
    <row r="42" ht="15.75" customHeight="1">
      <c r="A42" s="5" t="s">
        <v>20</v>
      </c>
      <c r="B42" s="5" t="s">
        <v>21</v>
      </c>
      <c r="C42" s="8">
        <f>C43*C44</f>
        <v>139.4833596</v>
      </c>
      <c r="D42" s="8">
        <f>SUM(H13:M13)-B31</f>
        <v>432.2754747</v>
      </c>
    </row>
    <row r="43" ht="15.75" customHeight="1">
      <c r="A43" s="5"/>
      <c r="B43" s="5" t="s">
        <v>22</v>
      </c>
      <c r="C43" s="8">
        <f>Optimistisch!C33</f>
        <v>26.823723</v>
      </c>
      <c r="D43" s="8">
        <f>C43</f>
        <v>26.823723</v>
      </c>
    </row>
    <row r="44" ht="15.75" customHeight="1">
      <c r="A44" s="5"/>
      <c r="B44" s="5" t="s">
        <v>23</v>
      </c>
      <c r="C44" s="8">
        <f>Optimistisch!C34</f>
        <v>5.2</v>
      </c>
      <c r="D44" s="8">
        <f>D42/D43</f>
        <v>16.11541674</v>
      </c>
    </row>
    <row r="45" ht="15.75" customHeight="1">
      <c r="A45" s="5"/>
      <c r="B45" s="5" t="s">
        <v>24</v>
      </c>
      <c r="C45" s="5"/>
      <c r="D45" s="11">
        <f>IF(C44/D44-1&gt;0,0,C44/D44-1)*-1</f>
        <v>0.6773276122</v>
      </c>
    </row>
    <row r="46" ht="15.75" customHeight="1">
      <c r="A46" s="5"/>
      <c r="B46" s="5" t="s">
        <v>25</v>
      </c>
      <c r="C46" s="5"/>
      <c r="D46" s="11">
        <f>IF(C44/D44-1&lt;0,0,C44/D44-1)</f>
        <v>0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2023-11-01T21:06:40Z</dcterms:created>
  <dc:creator>Tilman Reichel</dc:creator>
</cp:coreProperties>
</file>