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ptimistisch" sheetId="1" r:id="rId4"/>
    <sheet state="visible" name="Pessimistisch" sheetId="2" r:id="rId5"/>
    <sheet state="visible" name="Wachstum für Faire Bewertung" sheetId="3" r:id="rId6"/>
    <sheet state="visible" name="DCF" sheetId="4" r:id="rId7"/>
  </sheets>
  <definedNames/>
  <calcPr/>
  <extLst>
    <ext uri="GoogleSheetsCustomDataVersion2">
      <go:sheetsCustomData xmlns:go="http://customooxmlschemas.google.com/" r:id="rId8" roundtripDataChecksum="NOXHYOGWPHFEiT1K/8SAy6OV+0MVXxgB3JyJSOzvMIo="/>
    </ext>
  </extLst>
</workbook>
</file>

<file path=xl/sharedStrings.xml><?xml version="1.0" encoding="utf-8"?>
<sst xmlns="http://schemas.openxmlformats.org/spreadsheetml/2006/main" count="118" uniqueCount="41">
  <si>
    <t>Discounted Net-Profit Modell</t>
  </si>
  <si>
    <t>Annahmen für Kesko</t>
  </si>
  <si>
    <t>Alle Angaben in Mrd.</t>
  </si>
  <si>
    <t>Schätzungen »</t>
  </si>
  <si>
    <t>Umsatz</t>
  </si>
  <si>
    <t>Umsatzwachstum</t>
  </si>
  <si>
    <t>-</t>
  </si>
  <si>
    <t>EBIT Marge</t>
  </si>
  <si>
    <t>EBIT</t>
  </si>
  <si>
    <t>Gewinn (abzgl. Steuern, Zinsen)</t>
  </si>
  <si>
    <t>Anzahl an Aktien (abzgl. Aktienrückkäufe)</t>
  </si>
  <si>
    <t>Gewinn je Aktie</t>
  </si>
  <si>
    <t>Abgezinster Gewinn</t>
  </si>
  <si>
    <t>Berechnung der Eigenkapitalkosten:</t>
  </si>
  <si>
    <t>Risikoloser Basiszins:</t>
  </si>
  <si>
    <t>Risikoprämie:</t>
  </si>
  <si>
    <t>Marktrendite:</t>
  </si>
  <si>
    <t>Beta-Faktor:</t>
  </si>
  <si>
    <t>Eigenkapitalkosten:</t>
  </si>
  <si>
    <t>Fairer Wert</t>
  </si>
  <si>
    <t>Bewertung</t>
  </si>
  <si>
    <t>Marktkapitalisierung</t>
  </si>
  <si>
    <t>Anzahl an Aktien</t>
  </si>
  <si>
    <t>Kurs je Aktie</t>
  </si>
  <si>
    <t>Unterbewertung</t>
  </si>
  <si>
    <t>Überbewertung</t>
  </si>
  <si>
    <t>Berechnung der Renditeerwartung:</t>
  </si>
  <si>
    <t>Durchschnittliche Ausschüttungsquote:</t>
  </si>
  <si>
    <t>Ausgeschüttete Gewinne:</t>
  </si>
  <si>
    <t>Quellensteuer</t>
  </si>
  <si>
    <t>Discounted Cashflow Modell</t>
  </si>
  <si>
    <t>Free Cashflow Marge</t>
  </si>
  <si>
    <t>Free Cashflow</t>
  </si>
  <si>
    <t>Abgezinster Free Cashflow</t>
  </si>
  <si>
    <t>Berechnung der WACC:</t>
  </si>
  <si>
    <t>Marktkapitalisierung:</t>
  </si>
  <si>
    <t>Verzinstes Fremdkapital:</t>
  </si>
  <si>
    <t>Zinsrate (durchschnittlich):</t>
  </si>
  <si>
    <t>Steuerrate (durchschnittlich):</t>
  </si>
  <si>
    <t>WACC:</t>
  </si>
  <si>
    <t>Wachstumsabschlag: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</si>
</sst>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2.0"/>
      <color theme="1"/>
      <name val="Calibri"/>
      <scheme val="minor"/>
    </font>
    <font>
      <b/>
      <sz val="20.0"/>
      <color theme="1"/>
      <name val="Calibri"/>
    </font>
    <font>
      <color theme="1"/>
      <name val="Calibri"/>
      <scheme val="minor"/>
    </font>
    <font>
      <sz val="12.0"/>
      <color theme="1"/>
      <name val="Calibri"/>
    </font>
    <font>
      <sz val="12.0"/>
      <color theme="0"/>
      <name val="Calibri"/>
    </font>
    <font>
      <u/>
      <sz val="12.0"/>
      <color theme="1"/>
      <name val="Calibri"/>
    </font>
    <font>
      <u/>
      <sz val="12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17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2" fontId="3" numFmtId="0" xfId="0" applyBorder="1" applyFill="1" applyFont="1"/>
    <xf borderId="1" fillId="2" fontId="4" numFmtId="0" xfId="0" applyBorder="1" applyFont="1"/>
    <xf borderId="1" fillId="3" fontId="3" numFmtId="0" xfId="0" applyBorder="1" applyFill="1" applyFont="1"/>
    <xf borderId="1" fillId="3" fontId="3" numFmtId="0" xfId="0" applyAlignment="1" applyBorder="1" applyFont="1">
      <alignment horizontal="right"/>
    </xf>
    <xf borderId="0" fillId="0" fontId="3" numFmtId="2" xfId="0" applyFont="1" applyNumberFormat="1"/>
    <xf borderId="1" fillId="3" fontId="3" numFmtId="2" xfId="0" applyBorder="1" applyFont="1" applyNumberFormat="1"/>
    <xf borderId="0" fillId="0" fontId="3" numFmtId="0" xfId="0" applyAlignment="1" applyFont="1">
      <alignment horizontal="right"/>
    </xf>
    <xf borderId="0" fillId="0" fontId="3" numFmtId="10" xfId="0" applyFont="1" applyNumberFormat="1"/>
    <xf borderId="1" fillId="3" fontId="3" numFmtId="10" xfId="0" applyBorder="1" applyFont="1" applyNumberFormat="1"/>
    <xf borderId="2" fillId="0" fontId="3" numFmtId="0" xfId="0" applyBorder="1" applyFont="1"/>
    <xf borderId="3" fillId="0" fontId="3" numFmtId="0" xfId="0" applyBorder="1" applyFont="1"/>
    <xf borderId="4" fillId="4" fontId="3" numFmtId="2" xfId="0" applyBorder="1" applyFill="1" applyFont="1" applyNumberFormat="1"/>
    <xf borderId="5" fillId="4" fontId="3" numFmtId="2" xfId="0" applyBorder="1" applyFont="1" applyNumberFormat="1"/>
    <xf borderId="6" fillId="0" fontId="5" numFmtId="0" xfId="0" applyBorder="1" applyFont="1"/>
    <xf borderId="7" fillId="0" fontId="3" numFmtId="0" xfId="0" applyBorder="1" applyFont="1"/>
    <xf borderId="8" fillId="0" fontId="3" numFmtId="0" xfId="0" applyBorder="1" applyFont="1"/>
    <xf borderId="8" fillId="0" fontId="3" numFmtId="10" xfId="0" applyAlignment="1" applyBorder="1" applyFont="1" applyNumberFormat="1">
      <alignment readingOrder="0"/>
    </xf>
    <xf borderId="8" fillId="0" fontId="3" numFmtId="10" xfId="0" applyBorder="1" applyFont="1" applyNumberFormat="1"/>
    <xf borderId="8" fillId="0" fontId="3" numFmtId="2" xfId="0" applyBorder="1" applyFont="1" applyNumberFormat="1"/>
    <xf borderId="9" fillId="0" fontId="3" numFmtId="0" xfId="0" applyBorder="1" applyFont="1"/>
    <xf borderId="10" fillId="0" fontId="3" numFmtId="10" xfId="0" applyBorder="1" applyFont="1" applyNumberFormat="1"/>
    <xf borderId="1" fillId="2" fontId="4" numFmtId="14" xfId="0" applyAlignment="1" applyBorder="1" applyFont="1" applyNumberFormat="1">
      <alignment horizontal="right"/>
    </xf>
    <xf borderId="1" fillId="2" fontId="4" numFmtId="0" xfId="0" applyAlignment="1" applyBorder="1" applyFont="1">
      <alignment horizontal="right"/>
    </xf>
    <xf borderId="1" fillId="3" fontId="3" numFmtId="2" xfId="0" applyAlignment="1" applyBorder="1" applyFont="1" applyNumberFormat="1">
      <alignment readingOrder="0"/>
    </xf>
    <xf borderId="1" fillId="4" fontId="3" numFmtId="0" xfId="0" applyBorder="1" applyFont="1"/>
    <xf borderId="11" fillId="0" fontId="6" numFmtId="0" xfId="0" applyBorder="1" applyFont="1"/>
    <xf borderId="6" fillId="0" fontId="3" numFmtId="0" xfId="0" applyBorder="1" applyFont="1"/>
    <xf borderId="12" fillId="0" fontId="3" numFmtId="0" xfId="0" applyBorder="1" applyFont="1"/>
    <xf borderId="13" fillId="3" fontId="3" numFmtId="0" xfId="0" applyBorder="1" applyFont="1"/>
    <xf borderId="14" fillId="3" fontId="3" numFmtId="0" xfId="0" applyBorder="1" applyFont="1"/>
    <xf borderId="15" fillId="3" fontId="3" numFmtId="10" xfId="0" applyBorder="1" applyFont="1" applyNumberFormat="1"/>
    <xf borderId="16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">
        <v>1</v>
      </c>
    </row>
    <row r="5" ht="15.75" customHeight="1"/>
    <row r="6" ht="15.75" customHeight="1">
      <c r="B6" s="2" t="s">
        <v>2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v>2019.0</v>
      </c>
      <c r="D9" s="2">
        <f t="shared" ref="D9:Q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N9" s="5">
        <f t="shared" si="1"/>
        <v>2030</v>
      </c>
      <c r="O9" s="5">
        <f t="shared" si="1"/>
        <v>2031</v>
      </c>
      <c r="P9" s="5">
        <f t="shared" si="1"/>
        <v>2032</v>
      </c>
      <c r="Q9" s="5">
        <f t="shared" si="1"/>
        <v>2033</v>
      </c>
      <c r="R9" s="6" t="str">
        <f>Q9+1&amp;"ff."</f>
        <v>2034ff.</v>
      </c>
    </row>
    <row r="10" ht="15.75" customHeight="1">
      <c r="B10" s="2" t="s">
        <v>4</v>
      </c>
      <c r="C10" s="7">
        <v>10.7203</v>
      </c>
      <c r="D10" s="7">
        <v>10.6692</v>
      </c>
      <c r="E10" s="7">
        <v>11.3002</v>
      </c>
      <c r="F10" s="7">
        <v>11.809</v>
      </c>
      <c r="G10" s="7">
        <v>11.7838</v>
      </c>
      <c r="H10" s="8">
        <v>11.87862</v>
      </c>
      <c r="I10" s="8">
        <v>12.32152</v>
      </c>
      <c r="J10" s="8">
        <v>12.68853</v>
      </c>
      <c r="K10" s="8">
        <f t="shared" ref="K10:R10" si="2">J10*(1+K11)</f>
        <v>13.0691859</v>
      </c>
      <c r="L10" s="8">
        <f t="shared" si="2"/>
        <v>13.42858851</v>
      </c>
      <c r="M10" s="8">
        <f t="shared" si="2"/>
        <v>13.59644587</v>
      </c>
      <c r="N10" s="8">
        <f t="shared" si="2"/>
        <v>13.93635702</v>
      </c>
      <c r="O10" s="8">
        <f t="shared" si="2"/>
        <v>14.24992505</v>
      </c>
      <c r="P10" s="8">
        <f t="shared" si="2"/>
        <v>14.53492355</v>
      </c>
      <c r="Q10" s="8">
        <f t="shared" si="2"/>
        <v>14.82562202</v>
      </c>
      <c r="R10" s="8">
        <f t="shared" si="2"/>
        <v>14.97387824</v>
      </c>
    </row>
    <row r="11" ht="15.75" customHeight="1">
      <c r="B11" s="2" t="s">
        <v>5</v>
      </c>
      <c r="C11" s="9" t="s">
        <v>6</v>
      </c>
      <c r="D11" s="10">
        <f t="shared" ref="D11:J11" si="3">D10/C10-1</f>
        <v>-0.00476665765</v>
      </c>
      <c r="E11" s="10">
        <f t="shared" si="3"/>
        <v>0.05914220373</v>
      </c>
      <c r="F11" s="10">
        <f t="shared" si="3"/>
        <v>0.04502575176</v>
      </c>
      <c r="G11" s="10">
        <f t="shared" si="3"/>
        <v>-0.002133965619</v>
      </c>
      <c r="H11" s="11">
        <f t="shared" si="3"/>
        <v>0.008046640303</v>
      </c>
      <c r="I11" s="11">
        <f t="shared" si="3"/>
        <v>0.03728547592</v>
      </c>
      <c r="J11" s="11">
        <f t="shared" si="3"/>
        <v>0.02978609782</v>
      </c>
      <c r="K11" s="11">
        <v>0.03</v>
      </c>
      <c r="L11" s="11">
        <v>0.0275</v>
      </c>
      <c r="M11" s="11">
        <v>0.0125</v>
      </c>
      <c r="N11" s="11">
        <v>0.025</v>
      </c>
      <c r="O11" s="11">
        <v>0.0225</v>
      </c>
      <c r="P11" s="11">
        <v>0.02</v>
      </c>
      <c r="Q11" s="11">
        <v>0.02</v>
      </c>
      <c r="R11" s="11">
        <v>0.01</v>
      </c>
    </row>
    <row r="12" ht="15.75" customHeight="1">
      <c r="B12" s="2" t="s">
        <v>7</v>
      </c>
      <c r="C12" s="10">
        <f t="shared" ref="C12:J12" si="4">C13/C10</f>
        <v>0.04177121909</v>
      </c>
      <c r="D12" s="10">
        <f t="shared" si="4"/>
        <v>0.05625538935</v>
      </c>
      <c r="E12" s="10">
        <f t="shared" si="4"/>
        <v>0.06860055574</v>
      </c>
      <c r="F12" s="10">
        <f t="shared" si="4"/>
        <v>0.06914217969</v>
      </c>
      <c r="G12" s="10">
        <f t="shared" si="4"/>
        <v>0.05901322154</v>
      </c>
      <c r="H12" s="11">
        <f t="shared" si="4"/>
        <v>0.05510506117</v>
      </c>
      <c r="I12" s="11">
        <f t="shared" si="4"/>
        <v>0.05206919102</v>
      </c>
      <c r="J12" s="11">
        <f t="shared" si="4"/>
        <v>0.0575476614</v>
      </c>
      <c r="K12" s="11">
        <v>0.0585</v>
      </c>
      <c r="L12" s="11">
        <v>0.06</v>
      </c>
      <c r="M12" s="11">
        <v>0.06</v>
      </c>
      <c r="N12" s="11">
        <v>0.0525</v>
      </c>
      <c r="O12" s="11">
        <v>0.05</v>
      </c>
      <c r="P12" s="11">
        <v>0.0625</v>
      </c>
      <c r="Q12" s="11">
        <v>0.065</v>
      </c>
      <c r="R12" s="11">
        <v>0.06</v>
      </c>
    </row>
    <row r="13" ht="15.75" customHeight="1">
      <c r="B13" s="2" t="s">
        <v>8</v>
      </c>
      <c r="C13" s="7">
        <v>0.4478</v>
      </c>
      <c r="D13" s="7">
        <v>0.6002</v>
      </c>
      <c r="E13" s="7">
        <v>0.7752</v>
      </c>
      <c r="F13" s="7">
        <v>0.8165</v>
      </c>
      <c r="G13" s="7">
        <v>0.6954</v>
      </c>
      <c r="H13" s="8">
        <v>0.6545720817681115</v>
      </c>
      <c r="I13" s="8">
        <v>0.641571578491023</v>
      </c>
      <c r="J13" s="8">
        <v>0.730195228152209</v>
      </c>
      <c r="K13" s="8">
        <f t="shared" ref="K13:R13" si="5">K10*K12</f>
        <v>0.7645473752</v>
      </c>
      <c r="L13" s="8">
        <f t="shared" si="5"/>
        <v>0.8057153107</v>
      </c>
      <c r="M13" s="8">
        <f t="shared" si="5"/>
        <v>0.8157867521</v>
      </c>
      <c r="N13" s="8">
        <f t="shared" si="5"/>
        <v>0.7316587433</v>
      </c>
      <c r="O13" s="8">
        <f t="shared" si="5"/>
        <v>0.7124962524</v>
      </c>
      <c r="P13" s="8">
        <f t="shared" si="5"/>
        <v>0.9084327218</v>
      </c>
      <c r="Q13" s="8">
        <f t="shared" si="5"/>
        <v>0.9636654313</v>
      </c>
      <c r="R13" s="8">
        <f t="shared" si="5"/>
        <v>0.8984326944</v>
      </c>
    </row>
    <row r="14" ht="15.75" customHeight="1">
      <c r="A14" s="11">
        <v>0.25</v>
      </c>
      <c r="B14" s="2" t="s">
        <v>9</v>
      </c>
      <c r="C14" s="7">
        <v>0.3392</v>
      </c>
      <c r="D14" s="7">
        <v>0.4334</v>
      </c>
      <c r="E14" s="7">
        <v>0.5718</v>
      </c>
      <c r="F14" s="7">
        <v>0.6099</v>
      </c>
      <c r="G14" s="7">
        <v>0.4956</v>
      </c>
      <c r="H14" s="8">
        <v>0.46682976600000003</v>
      </c>
      <c r="I14" s="8">
        <v>0.460785864</v>
      </c>
      <c r="J14" s="8">
        <v>0.529111701</v>
      </c>
      <c r="K14" s="8">
        <f t="shared" ref="K14:R14" si="6">K13*(1-$A$14)</f>
        <v>0.5734105314</v>
      </c>
      <c r="L14" s="8">
        <f t="shared" si="6"/>
        <v>0.6042864831</v>
      </c>
      <c r="M14" s="8">
        <f t="shared" si="6"/>
        <v>0.6118400641</v>
      </c>
      <c r="N14" s="8">
        <f t="shared" si="6"/>
        <v>0.5487440575</v>
      </c>
      <c r="O14" s="8">
        <f t="shared" si="6"/>
        <v>0.5343721893</v>
      </c>
      <c r="P14" s="8">
        <f t="shared" si="6"/>
        <v>0.6813245414</v>
      </c>
      <c r="Q14" s="8">
        <f t="shared" si="6"/>
        <v>0.7227490735</v>
      </c>
      <c r="R14" s="8">
        <f t="shared" si="6"/>
        <v>0.6738245208</v>
      </c>
    </row>
    <row r="15" ht="15.75" customHeight="1">
      <c r="A15" s="11">
        <v>1.0</v>
      </c>
      <c r="B15" s="2" t="s">
        <v>10</v>
      </c>
      <c r="H15" s="8">
        <f>C33</f>
        <v>0.40008</v>
      </c>
      <c r="I15" s="8">
        <f t="shared" ref="I15:Q15" si="7">H15*$A$15</f>
        <v>0.40008</v>
      </c>
      <c r="J15" s="8">
        <f t="shared" si="7"/>
        <v>0.40008</v>
      </c>
      <c r="K15" s="8">
        <f t="shared" si="7"/>
        <v>0.40008</v>
      </c>
      <c r="L15" s="8">
        <f t="shared" si="7"/>
        <v>0.40008</v>
      </c>
      <c r="M15" s="8">
        <f t="shared" si="7"/>
        <v>0.40008</v>
      </c>
      <c r="N15" s="8">
        <f t="shared" si="7"/>
        <v>0.40008</v>
      </c>
      <c r="O15" s="8">
        <f t="shared" si="7"/>
        <v>0.40008</v>
      </c>
      <c r="P15" s="8">
        <f t="shared" si="7"/>
        <v>0.40008</v>
      </c>
      <c r="Q15" s="8">
        <f t="shared" si="7"/>
        <v>0.40008</v>
      </c>
      <c r="R15" s="6" t="s">
        <v>6</v>
      </c>
    </row>
    <row r="16" ht="15.75" customHeight="1">
      <c r="B16" s="2" t="s">
        <v>11</v>
      </c>
      <c r="H16" s="8">
        <f t="shared" ref="H16:Q16" si="8">H14/H15</f>
        <v>1.166841047</v>
      </c>
      <c r="I16" s="8">
        <f t="shared" si="8"/>
        <v>1.151734313</v>
      </c>
      <c r="J16" s="8">
        <f t="shared" si="8"/>
        <v>1.32251475</v>
      </c>
      <c r="K16" s="8">
        <f t="shared" si="8"/>
        <v>1.43323968</v>
      </c>
      <c r="L16" s="8">
        <f t="shared" si="8"/>
        <v>1.510414125</v>
      </c>
      <c r="M16" s="8">
        <f t="shared" si="8"/>
        <v>1.529294301</v>
      </c>
      <c r="N16" s="8">
        <f t="shared" si="8"/>
        <v>1.371585827</v>
      </c>
      <c r="O16" s="8">
        <f t="shared" si="8"/>
        <v>1.335663341</v>
      </c>
      <c r="P16" s="8">
        <f t="shared" si="8"/>
        <v>1.702970759</v>
      </c>
      <c r="Q16" s="8">
        <f t="shared" si="8"/>
        <v>1.806511381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0.4417609372</v>
      </c>
      <c r="I17" s="14">
        <f>I14/(1+$B$29)^2</f>
        <v>0.4126260944</v>
      </c>
      <c r="J17" s="14">
        <f>J14/(1+$B$29)^3</f>
        <v>0.448367039</v>
      </c>
      <c r="K17" s="14">
        <f>K14/(1+$B$29)^4</f>
        <v>0.4598124739</v>
      </c>
      <c r="L17" s="14">
        <f>L14/(1+$B$29)^5</f>
        <v>0.4585500388</v>
      </c>
      <c r="M17" s="14">
        <f>M14/(1+$B$29)^6</f>
        <v>0.4393499055</v>
      </c>
      <c r="N17" s="14">
        <f>N14/(1+$B$29)^7</f>
        <v>0.3728818346</v>
      </c>
      <c r="O17" s="14">
        <f>O14/(1+$B$29)^8</f>
        <v>0.3436165042</v>
      </c>
      <c r="P17" s="14">
        <f>P14/(1+$B$29)^9</f>
        <v>0.4145844138</v>
      </c>
      <c r="Q17" s="14">
        <f>Q14/(1+$B$29)^10</f>
        <v>0.4161742954</v>
      </c>
      <c r="R17" s="15">
        <f>(R14/(B29-R11))/(1+B29)^10</f>
        <v>8.299962499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19">
        <v>0.02725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0.0294975</v>
      </c>
    </row>
    <row r="24" ht="15.75" customHeight="1">
      <c r="B24" s="18"/>
    </row>
    <row r="25" ht="15.75" customHeight="1">
      <c r="A25" s="2" t="s">
        <v>16</v>
      </c>
      <c r="B25" s="20">
        <v>0.07</v>
      </c>
    </row>
    <row r="26" ht="15.75" customHeight="1">
      <c r="B26" s="18"/>
    </row>
    <row r="27" ht="15.75" customHeight="1">
      <c r="A27" s="2" t="s">
        <v>17</v>
      </c>
      <c r="B27" s="21">
        <v>0.69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0.0567475</v>
      </c>
    </row>
    <row r="30" ht="15.75" customHeight="1"/>
    <row r="31" ht="15.75" customHeight="1">
      <c r="A31" s="3"/>
      <c r="B31" s="3"/>
      <c r="C31" s="24">
        <v>45359.0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6.8533704</v>
      </c>
      <c r="D32" s="8">
        <f>SUM(H17:R17)</f>
        <v>12.50768604</v>
      </c>
    </row>
    <row r="33" ht="15.75" customHeight="1">
      <c r="A33" s="5"/>
      <c r="B33" s="5" t="s">
        <v>22</v>
      </c>
      <c r="C33" s="8">
        <v>0.40008</v>
      </c>
      <c r="D33" s="8">
        <f>C33</f>
        <v>0.40008</v>
      </c>
    </row>
    <row r="34" ht="15.75" customHeight="1">
      <c r="A34" s="5"/>
      <c r="B34" s="5" t="s">
        <v>23</v>
      </c>
      <c r="C34" s="26">
        <v>17.13</v>
      </c>
      <c r="D34" s="8">
        <f>D32/D33</f>
        <v>31.2629625</v>
      </c>
    </row>
    <row r="35" ht="15.75" customHeight="1">
      <c r="A35" s="5"/>
      <c r="B35" s="5" t="s">
        <v>24</v>
      </c>
      <c r="C35" s="5"/>
      <c r="D35" s="11">
        <f>IF(C34/D34-1&gt;0,0,C34/D34-1)*-1</f>
        <v>0.4520672824</v>
      </c>
    </row>
    <row r="36" ht="15.75" customHeight="1">
      <c r="A36" s="5"/>
      <c r="B36" s="5" t="s">
        <v>25</v>
      </c>
      <c r="C36" s="5"/>
      <c r="D36" s="11">
        <f>IF(C34/D34-1&lt;0,0,C34/D34-1)</f>
        <v>0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2033:</v>
      </c>
      <c r="D40" s="21">
        <v>18.0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2033:</v>
      </c>
      <c r="D42" s="21">
        <f>Q16*D40</f>
        <v>32.51720487</v>
      </c>
    </row>
    <row r="43" ht="15.75" customHeight="1">
      <c r="A43" s="30"/>
      <c r="D43" s="18"/>
    </row>
    <row r="44" ht="15.75" customHeight="1">
      <c r="A44" s="30" t="s">
        <v>27</v>
      </c>
      <c r="D44" s="20">
        <v>0.85</v>
      </c>
    </row>
    <row r="45" ht="15.75" customHeight="1">
      <c r="A45" s="30"/>
      <c r="D45" s="18"/>
    </row>
    <row r="46" ht="15.75" customHeight="1">
      <c r="A46" s="30" t="s">
        <v>28</v>
      </c>
      <c r="D46" s="21">
        <f>D44*SUM(H16:Q16)</f>
        <v>12.1811541</v>
      </c>
    </row>
    <row r="47" ht="15.75" customHeight="1">
      <c r="A47" s="30"/>
      <c r="D47" s="18"/>
    </row>
    <row r="48" ht="15.75" customHeight="1">
      <c r="A48" s="30" t="s">
        <v>29</v>
      </c>
      <c r="D48" s="20">
        <v>0.15</v>
      </c>
    </row>
    <row r="49" ht="15.75" customHeight="1">
      <c r="A49" s="30"/>
      <c r="D49" s="18"/>
    </row>
    <row r="50" ht="15.75" customHeight="1">
      <c r="A50" s="30" t="str">
        <f>"Gesamtwert "&amp;Q9</f>
        <v>Gesamtwert 2033</v>
      </c>
      <c r="D50" s="21">
        <f>D42+D46*(1-D48)</f>
        <v>42.87118585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2033</v>
      </c>
      <c r="D52" s="20">
        <f>D50/C34-1</f>
        <v>1.502696197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2033 pro Jahr</v>
      </c>
      <c r="B54" s="32"/>
      <c r="C54" s="32"/>
      <c r="D54" s="33">
        <f>(D50/C34)^(1/10)-1</f>
        <v>0.09607636581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tr">
        <f>Optimistisch!B4</f>
        <v>Annahmen für Kesko</v>
      </c>
    </row>
    <row r="5" ht="15.75" customHeight="1"/>
    <row r="6" ht="15.75" customHeight="1">
      <c r="B6" s="2" t="str">
        <f>Optimistisch!B6</f>
        <v>Alle Angaben in Mrd.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f>Optimistisch!C9</f>
        <v>2019</v>
      </c>
      <c r="D9" s="2">
        <f t="shared" ref="D9:Q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N9" s="5">
        <f t="shared" si="1"/>
        <v>2030</v>
      </c>
      <c r="O9" s="5">
        <f t="shared" si="1"/>
        <v>2031</v>
      </c>
      <c r="P9" s="5">
        <f t="shared" si="1"/>
        <v>2032</v>
      </c>
      <c r="Q9" s="5">
        <f t="shared" si="1"/>
        <v>2033</v>
      </c>
      <c r="R9" s="6" t="str">
        <f>Q9+1&amp;"ff."</f>
        <v>2034ff.</v>
      </c>
    </row>
    <row r="10" ht="15.75" customHeight="1">
      <c r="B10" s="2" t="s">
        <v>4</v>
      </c>
      <c r="C10" s="7">
        <f>Optimistisch!C10</f>
        <v>10.7203</v>
      </c>
      <c r="D10" s="7">
        <f>Optimistisch!D10</f>
        <v>10.6692</v>
      </c>
      <c r="E10" s="7">
        <f>Optimistisch!E10</f>
        <v>11.3002</v>
      </c>
      <c r="F10" s="7">
        <f>Optimistisch!F10</f>
        <v>11.809</v>
      </c>
      <c r="G10" s="7">
        <f>Optimistisch!G10</f>
        <v>11.7838</v>
      </c>
      <c r="H10" s="8">
        <f>Optimistisch!H10</f>
        <v>11.87862</v>
      </c>
      <c r="I10" s="8">
        <f>Optimistisch!I10</f>
        <v>12.32152</v>
      </c>
      <c r="J10" s="8">
        <f>Optimistisch!J10</f>
        <v>12.68853</v>
      </c>
      <c r="K10" s="8">
        <f t="shared" ref="K10:R10" si="2">J10*(1+K11)</f>
        <v>13.00574325</v>
      </c>
      <c r="L10" s="8">
        <f t="shared" si="2"/>
        <v>13.33088683</v>
      </c>
      <c r="M10" s="8">
        <f t="shared" si="2"/>
        <v>13.2642324</v>
      </c>
      <c r="N10" s="8">
        <f t="shared" si="2"/>
        <v>13.56267763</v>
      </c>
      <c r="O10" s="8">
        <f t="shared" si="2"/>
        <v>13.83393118</v>
      </c>
      <c r="P10" s="8">
        <f t="shared" si="2"/>
        <v>14.1106098</v>
      </c>
      <c r="Q10" s="8">
        <f t="shared" si="2"/>
        <v>14.35754547</v>
      </c>
      <c r="R10" s="8">
        <f t="shared" si="2"/>
        <v>14.4293332</v>
      </c>
    </row>
    <row r="11" ht="15.75" customHeight="1">
      <c r="B11" s="2" t="s">
        <v>5</v>
      </c>
      <c r="C11" s="9" t="s">
        <v>6</v>
      </c>
      <c r="D11" s="10">
        <f t="shared" ref="D11:J11" si="3">D10/C10-1</f>
        <v>-0.00476665765</v>
      </c>
      <c r="E11" s="10">
        <f t="shared" si="3"/>
        <v>0.05914220373</v>
      </c>
      <c r="F11" s="10">
        <f t="shared" si="3"/>
        <v>0.04502575176</v>
      </c>
      <c r="G11" s="10">
        <f t="shared" si="3"/>
        <v>-0.002133965619</v>
      </c>
      <c r="H11" s="11">
        <f t="shared" si="3"/>
        <v>0.008046640303</v>
      </c>
      <c r="I11" s="11">
        <f t="shared" si="3"/>
        <v>0.03728547592</v>
      </c>
      <c r="J11" s="11">
        <f t="shared" si="3"/>
        <v>0.02978609782</v>
      </c>
      <c r="K11" s="11">
        <v>0.025</v>
      </c>
      <c r="L11" s="11">
        <v>0.025</v>
      </c>
      <c r="M11" s="11">
        <v>-0.005</v>
      </c>
      <c r="N11" s="11">
        <v>0.0225</v>
      </c>
      <c r="O11" s="11">
        <v>0.02</v>
      </c>
      <c r="P11" s="11">
        <v>0.02</v>
      </c>
      <c r="Q11" s="11">
        <v>0.0175</v>
      </c>
      <c r="R11" s="11">
        <v>0.005</v>
      </c>
    </row>
    <row r="12" ht="15.75" customHeight="1">
      <c r="B12" s="2" t="s">
        <v>7</v>
      </c>
      <c r="C12" s="10">
        <f t="shared" ref="C12:J12" si="4">C13/C10</f>
        <v>0.04177121909</v>
      </c>
      <c r="D12" s="10">
        <f t="shared" si="4"/>
        <v>0.05625538935</v>
      </c>
      <c r="E12" s="10">
        <f t="shared" si="4"/>
        <v>0.06860055574</v>
      </c>
      <c r="F12" s="10">
        <f t="shared" si="4"/>
        <v>0.06914217969</v>
      </c>
      <c r="G12" s="10">
        <f t="shared" si="4"/>
        <v>0.05901322154</v>
      </c>
      <c r="H12" s="11">
        <f t="shared" si="4"/>
        <v>0.05510506117</v>
      </c>
      <c r="I12" s="11">
        <f t="shared" si="4"/>
        <v>0.05206919102</v>
      </c>
      <c r="J12" s="11">
        <f t="shared" si="4"/>
        <v>0.0575476614</v>
      </c>
      <c r="K12" s="11">
        <v>0.0575</v>
      </c>
      <c r="L12" s="11">
        <v>0.055</v>
      </c>
      <c r="M12" s="11">
        <v>0.035</v>
      </c>
      <c r="N12" s="11">
        <v>0.0525</v>
      </c>
      <c r="O12" s="11">
        <v>0.05</v>
      </c>
      <c r="P12" s="11">
        <v>0.05</v>
      </c>
      <c r="Q12" s="11">
        <v>0.045</v>
      </c>
      <c r="R12" s="11">
        <v>0.0375</v>
      </c>
    </row>
    <row r="13" ht="15.75" customHeight="1">
      <c r="B13" s="2" t="s">
        <v>8</v>
      </c>
      <c r="C13" s="7">
        <f>Optimistisch!C13</f>
        <v>0.4478</v>
      </c>
      <c r="D13" s="7">
        <f>Optimistisch!D13</f>
        <v>0.6002</v>
      </c>
      <c r="E13" s="7">
        <f>Optimistisch!E13</f>
        <v>0.7752</v>
      </c>
      <c r="F13" s="7">
        <f>Optimistisch!F13</f>
        <v>0.8165</v>
      </c>
      <c r="G13" s="7">
        <f>Optimistisch!G13</f>
        <v>0.6954</v>
      </c>
      <c r="H13" s="8">
        <f>Optimistisch!H13</f>
        <v>0.6545720818</v>
      </c>
      <c r="I13" s="8">
        <f>Optimistisch!I13</f>
        <v>0.6415715785</v>
      </c>
      <c r="J13" s="8">
        <f>Optimistisch!J13</f>
        <v>0.7301952282</v>
      </c>
      <c r="K13" s="8">
        <f t="shared" ref="K13:R13" si="5">K10*K12</f>
        <v>0.7478302369</v>
      </c>
      <c r="L13" s="8">
        <f t="shared" si="5"/>
        <v>0.7331987757</v>
      </c>
      <c r="M13" s="8">
        <f t="shared" si="5"/>
        <v>0.4642481339</v>
      </c>
      <c r="N13" s="8">
        <f t="shared" si="5"/>
        <v>0.7120405754</v>
      </c>
      <c r="O13" s="8">
        <f t="shared" si="5"/>
        <v>0.6916965589</v>
      </c>
      <c r="P13" s="8">
        <f t="shared" si="5"/>
        <v>0.7055304901</v>
      </c>
      <c r="Q13" s="8">
        <f t="shared" si="5"/>
        <v>0.6460895463</v>
      </c>
      <c r="R13" s="8">
        <f t="shared" si="5"/>
        <v>0.541099995</v>
      </c>
    </row>
    <row r="14" ht="15.75" customHeight="1">
      <c r="A14" s="11">
        <v>0.3</v>
      </c>
      <c r="B14" s="2" t="s">
        <v>9</v>
      </c>
      <c r="C14" s="7">
        <f>Optimistisch!C14</f>
        <v>0.3392</v>
      </c>
      <c r="D14" s="7">
        <f>Optimistisch!D14</f>
        <v>0.4334</v>
      </c>
      <c r="E14" s="7">
        <f>Optimistisch!E14</f>
        <v>0.5718</v>
      </c>
      <c r="F14" s="7">
        <f>Optimistisch!F14</f>
        <v>0.6099</v>
      </c>
      <c r="G14" s="7">
        <f>Optimistisch!G14</f>
        <v>0.4956</v>
      </c>
      <c r="H14" s="8">
        <f>Optimistisch!H14</f>
        <v>0.466829766</v>
      </c>
      <c r="I14" s="8">
        <f>Optimistisch!I14</f>
        <v>0.460785864</v>
      </c>
      <c r="J14" s="8">
        <f>Optimistisch!J14</f>
        <v>0.529111701</v>
      </c>
      <c r="K14" s="8">
        <f t="shared" ref="K14:R14" si="6">K13*(1-$A$14)</f>
        <v>0.5234811658</v>
      </c>
      <c r="L14" s="8">
        <f t="shared" si="6"/>
        <v>0.513239143</v>
      </c>
      <c r="M14" s="8">
        <f t="shared" si="6"/>
        <v>0.3249736937</v>
      </c>
      <c r="N14" s="8">
        <f t="shared" si="6"/>
        <v>0.4984284028</v>
      </c>
      <c r="O14" s="8">
        <f t="shared" si="6"/>
        <v>0.4841875912</v>
      </c>
      <c r="P14" s="8">
        <f t="shared" si="6"/>
        <v>0.4938713431</v>
      </c>
      <c r="Q14" s="8">
        <f t="shared" si="6"/>
        <v>0.4522626824</v>
      </c>
      <c r="R14" s="8">
        <f t="shared" si="6"/>
        <v>0.3787699965</v>
      </c>
    </row>
    <row r="15" ht="15.75" customHeight="1">
      <c r="A15" s="11">
        <v>1.0</v>
      </c>
      <c r="B15" s="2" t="s">
        <v>10</v>
      </c>
      <c r="H15" s="8">
        <f>C33</f>
        <v>0.40008</v>
      </c>
      <c r="I15" s="8">
        <f t="shared" ref="I15:Q15" si="7">H15*$A$15</f>
        <v>0.40008</v>
      </c>
      <c r="J15" s="8">
        <f t="shared" si="7"/>
        <v>0.40008</v>
      </c>
      <c r="K15" s="8">
        <f t="shared" si="7"/>
        <v>0.40008</v>
      </c>
      <c r="L15" s="8">
        <f t="shared" si="7"/>
        <v>0.40008</v>
      </c>
      <c r="M15" s="8">
        <f t="shared" si="7"/>
        <v>0.40008</v>
      </c>
      <c r="N15" s="8">
        <f t="shared" si="7"/>
        <v>0.40008</v>
      </c>
      <c r="O15" s="8">
        <f t="shared" si="7"/>
        <v>0.40008</v>
      </c>
      <c r="P15" s="8">
        <f t="shared" si="7"/>
        <v>0.40008</v>
      </c>
      <c r="Q15" s="8">
        <f t="shared" si="7"/>
        <v>0.40008</v>
      </c>
      <c r="R15" s="6" t="s">
        <v>6</v>
      </c>
    </row>
    <row r="16" ht="15.75" customHeight="1">
      <c r="B16" s="2" t="s">
        <v>11</v>
      </c>
      <c r="H16" s="8">
        <f t="shared" ref="H16:Q16" si="8">H14/H15</f>
        <v>1.166841047</v>
      </c>
      <c r="I16" s="8">
        <f t="shared" si="8"/>
        <v>1.151734313</v>
      </c>
      <c r="J16" s="8">
        <f t="shared" si="8"/>
        <v>1.32251475</v>
      </c>
      <c r="K16" s="8">
        <f t="shared" si="8"/>
        <v>1.308441226</v>
      </c>
      <c r="L16" s="8">
        <f t="shared" si="8"/>
        <v>1.282841289</v>
      </c>
      <c r="M16" s="8">
        <f t="shared" si="8"/>
        <v>0.81227178</v>
      </c>
      <c r="N16" s="8">
        <f t="shared" si="8"/>
        <v>1.245821843</v>
      </c>
      <c r="O16" s="8">
        <f t="shared" si="8"/>
        <v>1.210226933</v>
      </c>
      <c r="P16" s="8">
        <f t="shared" si="8"/>
        <v>1.234431471</v>
      </c>
      <c r="Q16" s="8">
        <f t="shared" si="8"/>
        <v>1.13043062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0.4417609372</v>
      </c>
      <c r="I17" s="14">
        <f>I14/(1+$B$29)^2</f>
        <v>0.4126260944</v>
      </c>
      <c r="J17" s="14">
        <f>J14/(1+$B$29)^3</f>
        <v>0.448367039</v>
      </c>
      <c r="K17" s="14">
        <f>K14/(1+$B$29)^4</f>
        <v>0.4197745886</v>
      </c>
      <c r="L17" s="14">
        <f>L14/(1+$B$29)^5</f>
        <v>0.3894606872</v>
      </c>
      <c r="M17" s="14">
        <f>M14/(1+$B$29)^6</f>
        <v>0.2333569997</v>
      </c>
      <c r="N17" s="14">
        <f>N14/(1+$B$29)^7</f>
        <v>0.3386914076</v>
      </c>
      <c r="O17" s="14">
        <f>O14/(1+$B$29)^8</f>
        <v>0.3113463814</v>
      </c>
      <c r="P17" s="14">
        <f>P14/(1+$B$29)^9</f>
        <v>0.3005195745</v>
      </c>
      <c r="Q17" s="14">
        <f>Q14/(1+$B$29)^10</f>
        <v>0.2604224759</v>
      </c>
      <c r="R17" s="15">
        <f>(R14/(B29-R11))/(1+B29)^10</f>
        <v>4.214770251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20">
        <f>Optimistisch!B21</f>
        <v>0.02725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0.0294975</v>
      </c>
    </row>
    <row r="24" ht="15.75" customHeight="1">
      <c r="B24" s="18"/>
    </row>
    <row r="25" ht="15.75" customHeight="1">
      <c r="A25" s="2" t="s">
        <v>16</v>
      </c>
      <c r="B25" s="20">
        <f>Optimistisch!B25</f>
        <v>0.07</v>
      </c>
    </row>
    <row r="26" ht="15.75" customHeight="1">
      <c r="B26" s="18"/>
    </row>
    <row r="27" ht="15.75" customHeight="1">
      <c r="A27" s="2" t="s">
        <v>17</v>
      </c>
      <c r="B27" s="21">
        <f>Optimistisch!B27</f>
        <v>0.69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0.0567475</v>
      </c>
    </row>
    <row r="30" ht="15.75" customHeight="1"/>
    <row r="31" ht="15.75" customHeight="1">
      <c r="A31" s="3"/>
      <c r="B31" s="3"/>
      <c r="C31" s="24">
        <f>Optimistisch!C31</f>
        <v>45359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6.8533704</v>
      </c>
      <c r="D32" s="8">
        <f>SUM(H17:R17)</f>
        <v>7.771096437</v>
      </c>
    </row>
    <row r="33" ht="15.75" customHeight="1">
      <c r="A33" s="5"/>
      <c r="B33" s="5" t="s">
        <v>22</v>
      </c>
      <c r="C33" s="8">
        <f>Optimistisch!C33</f>
        <v>0.40008</v>
      </c>
      <c r="D33" s="8">
        <f>C33</f>
        <v>0.40008</v>
      </c>
    </row>
    <row r="34" ht="15.75" customHeight="1">
      <c r="A34" s="5"/>
      <c r="B34" s="5" t="s">
        <v>23</v>
      </c>
      <c r="C34" s="8">
        <f>Optimistisch!C34</f>
        <v>17.13</v>
      </c>
      <c r="D34" s="8">
        <f>D32/D33</f>
        <v>19.42385632</v>
      </c>
    </row>
    <row r="35" ht="15.75" customHeight="1">
      <c r="A35" s="5"/>
      <c r="B35" s="5" t="s">
        <v>24</v>
      </c>
      <c r="C35" s="5"/>
      <c r="D35" s="11">
        <f>IF(C34/D34-1&gt;0,0,C34/D34-1)*-1</f>
        <v>0.1180947945</v>
      </c>
    </row>
    <row r="36" ht="15.75" customHeight="1">
      <c r="A36" s="5"/>
      <c r="B36" s="5" t="s">
        <v>25</v>
      </c>
      <c r="C36" s="5"/>
      <c r="D36" s="11">
        <f>IF(C34/D34-1&lt;0,0,C34/D34-1)</f>
        <v>0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2033:</v>
      </c>
      <c r="D40" s="21">
        <v>14.0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2033:</v>
      </c>
      <c r="D42" s="21">
        <f>Q16*D40</f>
        <v>15.82602868</v>
      </c>
    </row>
    <row r="43" ht="15.75" customHeight="1">
      <c r="A43" s="30"/>
      <c r="D43" s="18"/>
    </row>
    <row r="44" ht="15.75" customHeight="1">
      <c r="A44" s="30" t="s">
        <v>27</v>
      </c>
      <c r="D44" s="20">
        <v>0.65</v>
      </c>
    </row>
    <row r="45" ht="15.75" customHeight="1">
      <c r="A45" s="30"/>
      <c r="D45" s="18"/>
    </row>
    <row r="46" ht="15.75" customHeight="1">
      <c r="A46" s="30" t="s">
        <v>28</v>
      </c>
      <c r="D46" s="21">
        <f>D44*SUM(H16:Q16)</f>
        <v>7.712610927</v>
      </c>
    </row>
    <row r="47" ht="15.75" customHeight="1">
      <c r="A47" s="30"/>
      <c r="D47" s="18"/>
    </row>
    <row r="48" ht="15.75" customHeight="1">
      <c r="A48" s="30" t="s">
        <v>29</v>
      </c>
      <c r="D48" s="20">
        <f>Optimistisch!D48</f>
        <v>0.15</v>
      </c>
    </row>
    <row r="49" ht="15.75" customHeight="1">
      <c r="A49" s="30"/>
      <c r="D49" s="18"/>
    </row>
    <row r="50" ht="15.75" customHeight="1">
      <c r="A50" s="30" t="str">
        <f>"Gesamtwert "&amp;Q9</f>
        <v>Gesamtwert 2033</v>
      </c>
      <c r="D50" s="21">
        <f>D42+D46*(1-D48)</f>
        <v>22.38174797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2033</v>
      </c>
      <c r="D52" s="20">
        <f>D50/C34-1</f>
        <v>0.3065819011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2033 pro Jahr</v>
      </c>
      <c r="B54" s="32"/>
      <c r="C54" s="32"/>
      <c r="D54" s="33">
        <f>(D50/C34)^(1/10)-1</f>
        <v>0.02710221028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8" width="10.33"/>
    <col customWidth="1" min="19" max="26" width="8.33"/>
  </cols>
  <sheetData>
    <row r="1" ht="15.75" customHeight="1"/>
    <row r="2" ht="15.75" customHeight="1">
      <c r="B2" s="1" t="s">
        <v>0</v>
      </c>
    </row>
    <row r="3" ht="15.75" customHeight="1"/>
    <row r="4" ht="15.75" customHeight="1">
      <c r="B4" s="2" t="str">
        <f>Optimistisch!B4</f>
        <v>Annahmen für Kesko</v>
      </c>
    </row>
    <row r="5" ht="15.75" customHeight="1"/>
    <row r="6" ht="15.75" customHeight="1">
      <c r="B6" s="2" t="str">
        <f>Optimistisch!B6</f>
        <v>Alle Angaben in Mrd.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ht="15.75" customHeight="1">
      <c r="C9" s="2">
        <f>Optimistisch!C9</f>
        <v>2019</v>
      </c>
      <c r="D9" s="2">
        <f t="shared" ref="D9:Q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N9" s="5">
        <f t="shared" si="1"/>
        <v>2030</v>
      </c>
      <c r="O9" s="5">
        <f t="shared" si="1"/>
        <v>2031</v>
      </c>
      <c r="P9" s="5">
        <f t="shared" si="1"/>
        <v>2032</v>
      </c>
      <c r="Q9" s="5">
        <f t="shared" si="1"/>
        <v>2033</v>
      </c>
      <c r="R9" s="6" t="str">
        <f>Q9+1&amp;"ff."</f>
        <v>2034ff.</v>
      </c>
    </row>
    <row r="10" ht="15.75" customHeight="1">
      <c r="B10" s="2" t="s">
        <v>4</v>
      </c>
      <c r="C10" s="7">
        <f>Optimistisch!C10</f>
        <v>10.7203</v>
      </c>
      <c r="D10" s="7">
        <f>Optimistisch!D10</f>
        <v>10.6692</v>
      </c>
      <c r="E10" s="7">
        <f>Optimistisch!E10</f>
        <v>11.3002</v>
      </c>
      <c r="F10" s="7">
        <f>Optimistisch!F10</f>
        <v>11.809</v>
      </c>
      <c r="G10" s="7">
        <f>Optimistisch!G10</f>
        <v>11.7838</v>
      </c>
      <c r="H10" s="8">
        <f t="shared" ref="H10:R10" si="2">G10*(1+H11)</f>
        <v>11.1651505</v>
      </c>
      <c r="I10" s="8">
        <f t="shared" si="2"/>
        <v>10.5789801</v>
      </c>
      <c r="J10" s="8">
        <f t="shared" si="2"/>
        <v>10.02358364</v>
      </c>
      <c r="K10" s="8">
        <f t="shared" si="2"/>
        <v>9.497345502</v>
      </c>
      <c r="L10" s="8">
        <f t="shared" si="2"/>
        <v>8.998734863</v>
      </c>
      <c r="M10" s="8">
        <f t="shared" si="2"/>
        <v>8.526301283</v>
      </c>
      <c r="N10" s="8">
        <f t="shared" si="2"/>
        <v>8.078670466</v>
      </c>
      <c r="O10" s="8">
        <f t="shared" si="2"/>
        <v>7.654540266</v>
      </c>
      <c r="P10" s="8">
        <f t="shared" si="2"/>
        <v>7.252676902</v>
      </c>
      <c r="Q10" s="8">
        <f t="shared" si="2"/>
        <v>6.871911365</v>
      </c>
      <c r="R10" s="8">
        <f t="shared" si="2"/>
        <v>6.940630479</v>
      </c>
    </row>
    <row r="11" ht="15.75" customHeight="1">
      <c r="B11" s="2" t="s">
        <v>5</v>
      </c>
      <c r="C11" s="9" t="s">
        <v>6</v>
      </c>
      <c r="D11" s="10">
        <f t="shared" ref="D11:G11" si="3">D10/C10-1</f>
        <v>-0.00476665765</v>
      </c>
      <c r="E11" s="10">
        <f t="shared" si="3"/>
        <v>0.05914220373</v>
      </c>
      <c r="F11" s="10">
        <f t="shared" si="3"/>
        <v>0.04502575176</v>
      </c>
      <c r="G11" s="10">
        <f t="shared" si="3"/>
        <v>-0.002133965619</v>
      </c>
      <c r="H11" s="11">
        <v>-0.0525</v>
      </c>
      <c r="I11" s="11">
        <f t="shared" ref="I11:Q11" si="4">$H$11</f>
        <v>-0.0525</v>
      </c>
      <c r="J11" s="11">
        <f t="shared" si="4"/>
        <v>-0.0525</v>
      </c>
      <c r="K11" s="11">
        <f t="shared" si="4"/>
        <v>-0.0525</v>
      </c>
      <c r="L11" s="11">
        <f t="shared" si="4"/>
        <v>-0.0525</v>
      </c>
      <c r="M11" s="11">
        <f t="shared" si="4"/>
        <v>-0.0525</v>
      </c>
      <c r="N11" s="11">
        <f t="shared" si="4"/>
        <v>-0.0525</v>
      </c>
      <c r="O11" s="11">
        <f t="shared" si="4"/>
        <v>-0.0525</v>
      </c>
      <c r="P11" s="11">
        <f t="shared" si="4"/>
        <v>-0.0525</v>
      </c>
      <c r="Q11" s="11">
        <f t="shared" si="4"/>
        <v>-0.0525</v>
      </c>
      <c r="R11" s="11">
        <f>Optimistisch!R11</f>
        <v>0.01</v>
      </c>
    </row>
    <row r="12" ht="15.75" customHeight="1">
      <c r="B12" s="2" t="s">
        <v>7</v>
      </c>
      <c r="C12" s="10">
        <f t="shared" ref="C12:G12" si="5">C13/C10</f>
        <v>0.04177121909</v>
      </c>
      <c r="D12" s="10">
        <f t="shared" si="5"/>
        <v>0.05625538935</v>
      </c>
      <c r="E12" s="10">
        <f t="shared" si="5"/>
        <v>0.06860055574</v>
      </c>
      <c r="F12" s="10">
        <f t="shared" si="5"/>
        <v>0.06914217969</v>
      </c>
      <c r="G12" s="10">
        <f t="shared" si="5"/>
        <v>0.05901322154</v>
      </c>
      <c r="H12" s="11">
        <f>Optimistisch!H12</f>
        <v>0.05510506117</v>
      </c>
      <c r="I12" s="11">
        <f>Optimistisch!I12</f>
        <v>0.05206919102</v>
      </c>
      <c r="J12" s="11">
        <f>Optimistisch!J12</f>
        <v>0.0575476614</v>
      </c>
      <c r="K12" s="11">
        <f>Optimistisch!K12</f>
        <v>0.0585</v>
      </c>
      <c r="L12" s="11">
        <f>Optimistisch!L12</f>
        <v>0.06</v>
      </c>
      <c r="M12" s="11">
        <f>Optimistisch!M12</f>
        <v>0.06</v>
      </c>
      <c r="N12" s="11">
        <f>Optimistisch!N12</f>
        <v>0.0525</v>
      </c>
      <c r="O12" s="11">
        <f>Optimistisch!O12</f>
        <v>0.05</v>
      </c>
      <c r="P12" s="11">
        <f>Optimistisch!P12</f>
        <v>0.0625</v>
      </c>
      <c r="Q12" s="11">
        <f>Optimistisch!Q12</f>
        <v>0.065</v>
      </c>
      <c r="R12" s="11">
        <f>Optimistisch!R12</f>
        <v>0.06</v>
      </c>
    </row>
    <row r="13" ht="15.75" customHeight="1">
      <c r="B13" s="2" t="s">
        <v>8</v>
      </c>
      <c r="C13" s="7">
        <f>Optimistisch!C13</f>
        <v>0.4478</v>
      </c>
      <c r="D13" s="7">
        <f>Optimistisch!D13</f>
        <v>0.6002</v>
      </c>
      <c r="E13" s="7">
        <f>Optimistisch!E13</f>
        <v>0.7752</v>
      </c>
      <c r="F13" s="7">
        <f>Optimistisch!F13</f>
        <v>0.8165</v>
      </c>
      <c r="G13" s="7">
        <f>Optimistisch!G13</f>
        <v>0.6954</v>
      </c>
      <c r="H13" s="8">
        <f t="shared" ref="H13:R13" si="6">H10*H12</f>
        <v>0.6152563013</v>
      </c>
      <c r="I13" s="8">
        <f t="shared" si="6"/>
        <v>0.5508389355</v>
      </c>
      <c r="J13" s="8">
        <f t="shared" si="6"/>
        <v>0.5768337976</v>
      </c>
      <c r="K13" s="8">
        <f t="shared" si="6"/>
        <v>0.5555947119</v>
      </c>
      <c r="L13" s="8">
        <f t="shared" si="6"/>
        <v>0.5399240918</v>
      </c>
      <c r="M13" s="8">
        <f t="shared" si="6"/>
        <v>0.511578077</v>
      </c>
      <c r="N13" s="8">
        <f t="shared" si="6"/>
        <v>0.4241301995</v>
      </c>
      <c r="O13" s="8">
        <f t="shared" si="6"/>
        <v>0.3827270133</v>
      </c>
      <c r="P13" s="8">
        <f t="shared" si="6"/>
        <v>0.4532923064</v>
      </c>
      <c r="Q13" s="8">
        <f t="shared" si="6"/>
        <v>0.4466742387</v>
      </c>
      <c r="R13" s="8">
        <f t="shared" si="6"/>
        <v>0.4164378287</v>
      </c>
    </row>
    <row r="14" ht="15.75" customHeight="1">
      <c r="A14" s="11">
        <f>Optimistisch!A14</f>
        <v>0.25</v>
      </c>
      <c r="B14" s="2" t="s">
        <v>9</v>
      </c>
      <c r="C14" s="7">
        <f>Optimistisch!C14</f>
        <v>0.3392</v>
      </c>
      <c r="D14" s="7">
        <f>Optimistisch!D14</f>
        <v>0.4334</v>
      </c>
      <c r="E14" s="7">
        <f>Optimistisch!E14</f>
        <v>0.5718</v>
      </c>
      <c r="F14" s="7">
        <f>Optimistisch!F14</f>
        <v>0.6099</v>
      </c>
      <c r="G14" s="7">
        <f>Optimistisch!G14</f>
        <v>0.4956</v>
      </c>
      <c r="H14" s="8">
        <f t="shared" ref="H14:R14" si="7">H13*(1-$A$14)</f>
        <v>0.461442226</v>
      </c>
      <c r="I14" s="8">
        <f t="shared" si="7"/>
        <v>0.4131292016</v>
      </c>
      <c r="J14" s="8">
        <f t="shared" si="7"/>
        <v>0.4326253482</v>
      </c>
      <c r="K14" s="8">
        <f t="shared" si="7"/>
        <v>0.4166960339</v>
      </c>
      <c r="L14" s="8">
        <f t="shared" si="7"/>
        <v>0.4049430689</v>
      </c>
      <c r="M14" s="8">
        <f t="shared" si="7"/>
        <v>0.3836835577</v>
      </c>
      <c r="N14" s="8">
        <f t="shared" si="7"/>
        <v>0.3180976496</v>
      </c>
      <c r="O14" s="8">
        <f t="shared" si="7"/>
        <v>0.28704526</v>
      </c>
      <c r="P14" s="8">
        <f t="shared" si="7"/>
        <v>0.3399692298</v>
      </c>
      <c r="Q14" s="8">
        <f t="shared" si="7"/>
        <v>0.335005679</v>
      </c>
      <c r="R14" s="8">
        <f t="shared" si="7"/>
        <v>0.3123283715</v>
      </c>
    </row>
    <row r="15" ht="15.75" customHeight="1">
      <c r="A15" s="11">
        <f>Optimistisch!A15</f>
        <v>1</v>
      </c>
      <c r="B15" s="2" t="s">
        <v>10</v>
      </c>
      <c r="H15" s="8">
        <f>C33</f>
        <v>0.40008</v>
      </c>
      <c r="I15" s="8">
        <f t="shared" ref="I15:Q15" si="8">H15*$A$15</f>
        <v>0.40008</v>
      </c>
      <c r="J15" s="8">
        <f t="shared" si="8"/>
        <v>0.40008</v>
      </c>
      <c r="K15" s="8">
        <f t="shared" si="8"/>
        <v>0.40008</v>
      </c>
      <c r="L15" s="8">
        <f t="shared" si="8"/>
        <v>0.40008</v>
      </c>
      <c r="M15" s="8">
        <f t="shared" si="8"/>
        <v>0.40008</v>
      </c>
      <c r="N15" s="8">
        <f t="shared" si="8"/>
        <v>0.40008</v>
      </c>
      <c r="O15" s="8">
        <f t="shared" si="8"/>
        <v>0.40008</v>
      </c>
      <c r="P15" s="8">
        <f t="shared" si="8"/>
        <v>0.40008</v>
      </c>
      <c r="Q15" s="8">
        <f t="shared" si="8"/>
        <v>0.40008</v>
      </c>
      <c r="R15" s="6" t="s">
        <v>6</v>
      </c>
    </row>
    <row r="16" ht="15.75" customHeight="1">
      <c r="B16" s="2" t="s">
        <v>11</v>
      </c>
      <c r="H16" s="8">
        <f t="shared" ref="H16:Q16" si="9">H14/H15</f>
        <v>1.15337489</v>
      </c>
      <c r="I16" s="8">
        <f t="shared" si="9"/>
        <v>1.032616481</v>
      </c>
      <c r="J16" s="8">
        <f t="shared" si="9"/>
        <v>1.081347101</v>
      </c>
      <c r="K16" s="8">
        <f t="shared" si="9"/>
        <v>1.041531778</v>
      </c>
      <c r="L16" s="8">
        <f t="shared" si="9"/>
        <v>1.012155241</v>
      </c>
      <c r="M16" s="8">
        <f t="shared" si="9"/>
        <v>0.9590170909</v>
      </c>
      <c r="N16" s="8">
        <f t="shared" si="9"/>
        <v>0.7950851069</v>
      </c>
      <c r="O16" s="8">
        <f t="shared" si="9"/>
        <v>0.717469656</v>
      </c>
      <c r="P16" s="8">
        <f t="shared" si="9"/>
        <v>0.8497531239</v>
      </c>
      <c r="Q16" s="8">
        <f t="shared" si="9"/>
        <v>0.8373467283</v>
      </c>
      <c r="R16" s="6" t="s">
        <v>6</v>
      </c>
    </row>
    <row r="17" ht="15.75" customHeight="1">
      <c r="F17" s="12" t="s">
        <v>12</v>
      </c>
      <c r="G17" s="13"/>
      <c r="H17" s="14">
        <f>H14/(1+$B$29)</f>
        <v>0.4366627089</v>
      </c>
      <c r="I17" s="14">
        <f>I14/(1+$B$29)^2</f>
        <v>0.3699503441</v>
      </c>
      <c r="J17" s="14">
        <f>J14/(1+$B$29)^3</f>
        <v>0.3666049078</v>
      </c>
      <c r="K17" s="14">
        <f>K14/(1+$B$29)^4</f>
        <v>0.3341446028</v>
      </c>
      <c r="L17" s="14">
        <f>L14/(1+$B$29)^5</f>
        <v>0.3072824978</v>
      </c>
      <c r="M17" s="14">
        <f>M14/(1+$B$29)^6</f>
        <v>0.2755153589</v>
      </c>
      <c r="N17" s="14">
        <f>N14/(1+$B$29)^7</f>
        <v>0.2161532932</v>
      </c>
      <c r="O17" s="14">
        <f>O14/(1+$B$29)^8</f>
        <v>0.1845782598</v>
      </c>
      <c r="P17" s="14">
        <f>P14/(1+$B$29)^9</f>
        <v>0.2068704931</v>
      </c>
      <c r="Q17" s="14">
        <f>Q14/(1+$B$29)^10</f>
        <v>0.1929033983</v>
      </c>
      <c r="R17" s="15">
        <f>(R14/(B29-R11))/(1+B29)^10</f>
        <v>3.847164493</v>
      </c>
    </row>
    <row r="18" ht="15.75" customHeight="1"/>
    <row r="19" ht="15.75" customHeight="1">
      <c r="A19" s="16" t="s">
        <v>13</v>
      </c>
      <c r="B19" s="17"/>
    </row>
    <row r="20" ht="15.75" customHeight="1">
      <c r="B20" s="18"/>
    </row>
    <row r="21" ht="15.75" customHeight="1">
      <c r="A21" s="2" t="s">
        <v>14</v>
      </c>
      <c r="B21" s="20">
        <f>Optimistisch!B21</f>
        <v>0.02725</v>
      </c>
    </row>
    <row r="22" ht="15.75" customHeight="1">
      <c r="B22" s="18"/>
    </row>
    <row r="23" ht="15.75" customHeight="1">
      <c r="A23" s="2" t="s">
        <v>15</v>
      </c>
      <c r="B23" s="20">
        <f>(B25-B21)*B27</f>
        <v>0.0294975</v>
      </c>
    </row>
    <row r="24" ht="15.75" customHeight="1">
      <c r="B24" s="18"/>
    </row>
    <row r="25" ht="15.75" customHeight="1">
      <c r="A25" s="2" t="s">
        <v>16</v>
      </c>
      <c r="B25" s="20">
        <f>Optimistisch!B25</f>
        <v>0.07</v>
      </c>
    </row>
    <row r="26" ht="15.75" customHeight="1">
      <c r="B26" s="18"/>
    </row>
    <row r="27" ht="15.75" customHeight="1">
      <c r="A27" s="2" t="s">
        <v>17</v>
      </c>
      <c r="B27" s="21">
        <f>Optimistisch!B27</f>
        <v>0.69</v>
      </c>
    </row>
    <row r="28" ht="15.75" customHeight="1">
      <c r="B28" s="18"/>
    </row>
    <row r="29" ht="15.75" customHeight="1">
      <c r="A29" s="22" t="s">
        <v>18</v>
      </c>
      <c r="B29" s="23">
        <f>B21+(B25-B21)*B27</f>
        <v>0.0567475</v>
      </c>
    </row>
    <row r="30" ht="15.75" customHeight="1"/>
    <row r="31" ht="15.75" customHeight="1">
      <c r="A31" s="3"/>
      <c r="B31" s="3"/>
      <c r="C31" s="24">
        <f>Optimistisch!C31</f>
        <v>45359</v>
      </c>
      <c r="D31" s="25" t="s">
        <v>19</v>
      </c>
    </row>
    <row r="32" ht="15.75" customHeight="1">
      <c r="A32" s="5" t="s">
        <v>20</v>
      </c>
      <c r="B32" s="5" t="s">
        <v>21</v>
      </c>
      <c r="C32" s="8">
        <f>C33*C34</f>
        <v>6.8533704</v>
      </c>
      <c r="D32" s="8">
        <f>SUM(H17:R17)</f>
        <v>6.737830358</v>
      </c>
    </row>
    <row r="33" ht="15.75" customHeight="1">
      <c r="A33" s="5"/>
      <c r="B33" s="5" t="s">
        <v>22</v>
      </c>
      <c r="C33" s="8">
        <f>Optimistisch!C33</f>
        <v>0.40008</v>
      </c>
      <c r="D33" s="8">
        <f>C33</f>
        <v>0.40008</v>
      </c>
    </row>
    <row r="34" ht="15.75" customHeight="1">
      <c r="A34" s="5"/>
      <c r="B34" s="5" t="s">
        <v>23</v>
      </c>
      <c r="C34" s="8">
        <f>Optimistisch!C34</f>
        <v>17.13</v>
      </c>
      <c r="D34" s="8">
        <f>D32/D33</f>
        <v>16.84120765</v>
      </c>
    </row>
    <row r="35" ht="15.75" customHeight="1">
      <c r="A35" s="5"/>
      <c r="B35" s="5" t="s">
        <v>24</v>
      </c>
      <c r="C35" s="5"/>
      <c r="D35" s="11">
        <f>IF(C34/D34-1&gt;0,0,C34/D34-1)*-1</f>
        <v>0</v>
      </c>
    </row>
    <row r="36" ht="15.75" customHeight="1">
      <c r="A36" s="5"/>
      <c r="B36" s="5" t="s">
        <v>25</v>
      </c>
      <c r="C36" s="5"/>
      <c r="D36" s="11">
        <f>IF(C34/D34-1&lt;0,0,C34/D34-1)</f>
        <v>0.0171479595</v>
      </c>
    </row>
    <row r="37" ht="15.75" customHeight="1">
      <c r="A37" s="27"/>
      <c r="B37" s="27"/>
      <c r="C37" s="27"/>
      <c r="D37" s="27"/>
    </row>
    <row r="38" ht="15.75" customHeight="1">
      <c r="A38" s="28" t="s">
        <v>26</v>
      </c>
      <c r="B38" s="29"/>
      <c r="C38" s="29"/>
      <c r="D38" s="17"/>
    </row>
    <row r="39" ht="15.75" customHeight="1">
      <c r="A39" s="30"/>
      <c r="D39" s="18"/>
    </row>
    <row r="40" ht="15.75" customHeight="1">
      <c r="A40" s="30" t="str">
        <f>"KGV in "&amp;Q9&amp;":"</f>
        <v>KGV in 2033:</v>
      </c>
      <c r="D40" s="21">
        <v>44.0</v>
      </c>
    </row>
    <row r="41" ht="15.75" customHeight="1">
      <c r="A41" s="30"/>
      <c r="D41" s="18"/>
    </row>
    <row r="42" ht="15.75" customHeight="1">
      <c r="A42" s="30" t="str">
        <f>"Aktienkurs in "&amp;Q9&amp;":"</f>
        <v>Aktienkurs in 2033:</v>
      </c>
      <c r="D42" s="21">
        <f>Q16*D40</f>
        <v>36.84325604</v>
      </c>
    </row>
    <row r="43" ht="15.75" customHeight="1">
      <c r="A43" s="30"/>
      <c r="D43" s="18"/>
    </row>
    <row r="44" ht="15.75" customHeight="1">
      <c r="A44" s="30" t="s">
        <v>27</v>
      </c>
      <c r="D44" s="20">
        <f>Optimistisch!D44</f>
        <v>0.85</v>
      </c>
    </row>
    <row r="45" ht="15.75" customHeight="1">
      <c r="A45" s="30"/>
      <c r="D45" s="18"/>
    </row>
    <row r="46" ht="15.75" customHeight="1">
      <c r="A46" s="30" t="s">
        <v>28</v>
      </c>
      <c r="D46" s="21">
        <f>D44*SUM(H16:Q16)</f>
        <v>8.057742618</v>
      </c>
    </row>
    <row r="47" ht="15.75" customHeight="1">
      <c r="A47" s="30"/>
      <c r="D47" s="18"/>
    </row>
    <row r="48" ht="15.75" customHeight="1">
      <c r="A48" s="30" t="s">
        <v>29</v>
      </c>
      <c r="D48" s="20">
        <f>Optimistisch!D48</f>
        <v>0.15</v>
      </c>
    </row>
    <row r="49" ht="15.75" customHeight="1">
      <c r="A49" s="30"/>
      <c r="D49" s="18"/>
    </row>
    <row r="50" ht="15.75" customHeight="1">
      <c r="A50" s="30" t="str">
        <f>"Gesamtwert "&amp;Q9</f>
        <v>Gesamtwert 2033</v>
      </c>
      <c r="D50" s="21">
        <f>D42+D46*(1-D48)</f>
        <v>43.69233727</v>
      </c>
    </row>
    <row r="51" ht="15.75" customHeight="1">
      <c r="A51" s="30"/>
      <c r="D51" s="18"/>
    </row>
    <row r="52" ht="15.75" customHeight="1">
      <c r="A52" s="30" t="str">
        <f>"Steigerung bis "&amp;Q9</f>
        <v>Steigerung bis 2033</v>
      </c>
      <c r="D52" s="20">
        <f>D50/C34-1</f>
        <v>1.550632648</v>
      </c>
    </row>
    <row r="53" ht="15.75" customHeight="1">
      <c r="A53" s="30"/>
      <c r="D53" s="18"/>
    </row>
    <row r="54" ht="15.75" customHeight="1">
      <c r="A54" s="31" t="str">
        <f>"Renditeerwartung bis "&amp;Q9&amp;" pro Jahr"</f>
        <v>Renditeerwartung bis 2033 pro Jahr</v>
      </c>
      <c r="B54" s="32"/>
      <c r="C54" s="32"/>
      <c r="D54" s="33">
        <f>(D50/C34)^(1/10)-1</f>
        <v>0.0981579032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17.44"/>
    <col customWidth="1" min="2" max="2" width="27.22"/>
    <col customWidth="1" min="3" max="14" width="10.33"/>
    <col customWidth="1" hidden="1" min="15" max="18" width="10.33"/>
    <col customWidth="1" min="19" max="26" width="8.33"/>
  </cols>
  <sheetData>
    <row r="1" ht="15.75" customHeight="1"/>
    <row r="2" ht="15.75" customHeight="1">
      <c r="B2" s="1" t="s">
        <v>30</v>
      </c>
    </row>
    <row r="3" ht="15.75" customHeight="1"/>
    <row r="4" ht="15.75" customHeight="1">
      <c r="B4" s="2" t="str">
        <f>Optimistisch!B4</f>
        <v>Annahmen für Kesko</v>
      </c>
    </row>
    <row r="5" ht="15.75" customHeight="1"/>
    <row r="6" ht="15.75" customHeight="1">
      <c r="B6" s="2" t="str">
        <f>Optimistisch!B6</f>
        <v>Alle Angaben in Mrd.</v>
      </c>
    </row>
    <row r="7" ht="15.75" customHeight="1"/>
    <row r="8" ht="15.75" customHeight="1">
      <c r="A8" s="3"/>
      <c r="B8" s="3"/>
      <c r="C8" s="3"/>
      <c r="D8" s="3"/>
      <c r="E8" s="3"/>
      <c r="F8" s="3"/>
      <c r="G8" s="3"/>
      <c r="H8" s="4" t="s">
        <v>3</v>
      </c>
      <c r="I8" s="3"/>
      <c r="J8" s="3"/>
      <c r="K8" s="3"/>
      <c r="L8" s="3"/>
      <c r="M8" s="3"/>
    </row>
    <row r="9" ht="15.75" customHeight="1">
      <c r="C9" s="2">
        <f>Optimistisch!C9</f>
        <v>2019</v>
      </c>
      <c r="D9" s="2">
        <f t="shared" ref="D9:M9" si="1">C9+1</f>
        <v>2020</v>
      </c>
      <c r="E9" s="2">
        <f t="shared" si="1"/>
        <v>2021</v>
      </c>
      <c r="F9" s="2">
        <f t="shared" si="1"/>
        <v>2022</v>
      </c>
      <c r="G9" s="2">
        <f t="shared" si="1"/>
        <v>2023</v>
      </c>
      <c r="H9" s="5">
        <f t="shared" si="1"/>
        <v>2024</v>
      </c>
      <c r="I9" s="5">
        <f t="shared" si="1"/>
        <v>2025</v>
      </c>
      <c r="J9" s="5">
        <f t="shared" si="1"/>
        <v>2026</v>
      </c>
      <c r="K9" s="5">
        <f t="shared" si="1"/>
        <v>2027</v>
      </c>
      <c r="L9" s="5">
        <f t="shared" si="1"/>
        <v>2028</v>
      </c>
      <c r="M9" s="5">
        <f t="shared" si="1"/>
        <v>2029</v>
      </c>
      <c r="R9" s="9"/>
    </row>
    <row r="10" ht="15.75" customHeight="1">
      <c r="B10" s="2" t="s">
        <v>4</v>
      </c>
      <c r="C10" s="7">
        <f>Optimistisch!C10</f>
        <v>10.7203</v>
      </c>
      <c r="D10" s="7">
        <f>Optimistisch!D10</f>
        <v>10.6692</v>
      </c>
      <c r="E10" s="7">
        <f>Optimistisch!E10</f>
        <v>11.3002</v>
      </c>
      <c r="F10" s="7">
        <f>Optimistisch!F10</f>
        <v>11.809</v>
      </c>
      <c r="G10" s="7">
        <f>Optimistisch!G10</f>
        <v>11.7838</v>
      </c>
      <c r="H10" s="8">
        <f>Optimistisch!H10</f>
        <v>11.87862</v>
      </c>
      <c r="I10" s="8">
        <f>Optimistisch!I10</f>
        <v>12.32152</v>
      </c>
      <c r="J10" s="8">
        <f>Optimistisch!J10</f>
        <v>12.68853</v>
      </c>
      <c r="K10" s="8">
        <f>(Optimistisch!K10+Pessimistisch!K10)/2</f>
        <v>13.03746458</v>
      </c>
      <c r="L10" s="8">
        <f>(Optimistisch!L10+Pessimistisch!L10)/2</f>
        <v>13.37973767</v>
      </c>
      <c r="M10" s="8">
        <f>(Optimistisch!M10+Pessimistisch!M10)/2</f>
        <v>13.43033913</v>
      </c>
      <c r="N10" s="7"/>
      <c r="O10" s="7"/>
      <c r="P10" s="7"/>
      <c r="Q10" s="7"/>
      <c r="R10" s="7"/>
    </row>
    <row r="11" ht="15.75" customHeight="1">
      <c r="B11" s="2" t="s">
        <v>31</v>
      </c>
      <c r="C11" s="10">
        <f t="shared" ref="C11:G11" si="2">C12/C10</f>
        <v>0.01930916112</v>
      </c>
      <c r="D11" s="10">
        <f t="shared" si="2"/>
        <v>0.07067071571</v>
      </c>
      <c r="E11" s="10">
        <f t="shared" si="2"/>
        <v>0.07746765544</v>
      </c>
      <c r="F11" s="10">
        <f t="shared" si="2"/>
        <v>0.03946142772</v>
      </c>
      <c r="G11" s="10">
        <f t="shared" si="2"/>
        <v>0.03144995672</v>
      </c>
      <c r="H11" s="11">
        <v>0.034</v>
      </c>
      <c r="I11" s="11">
        <v>0.037</v>
      </c>
      <c r="J11" s="11">
        <v>0.0395</v>
      </c>
      <c r="K11" s="11">
        <v>0.015</v>
      </c>
      <c r="L11" s="11">
        <v>0.035</v>
      </c>
      <c r="M11" s="11">
        <v>0.0325</v>
      </c>
      <c r="N11" s="10"/>
      <c r="O11" s="10"/>
      <c r="P11" s="10"/>
      <c r="Q11" s="10"/>
      <c r="R11" s="10"/>
    </row>
    <row r="12" ht="15.75" customHeight="1">
      <c r="B12" s="2" t="s">
        <v>32</v>
      </c>
      <c r="C12" s="7">
        <v>0.207</v>
      </c>
      <c r="D12" s="7">
        <v>0.754</v>
      </c>
      <c r="E12" s="7">
        <v>0.8754</v>
      </c>
      <c r="F12" s="7">
        <v>0.466</v>
      </c>
      <c r="G12" s="7">
        <v>0.3706</v>
      </c>
      <c r="H12" s="8">
        <f t="shared" ref="H12:M12" si="3">H10*H11</f>
        <v>0.40387308</v>
      </c>
      <c r="I12" s="8">
        <f t="shared" si="3"/>
        <v>0.45589624</v>
      </c>
      <c r="J12" s="8">
        <f t="shared" si="3"/>
        <v>0.501196935</v>
      </c>
      <c r="K12" s="8">
        <f t="shared" si="3"/>
        <v>0.1955619686</v>
      </c>
      <c r="L12" s="8">
        <f t="shared" si="3"/>
        <v>0.4682908185</v>
      </c>
      <c r="M12" s="8">
        <f t="shared" si="3"/>
        <v>0.4364860218</v>
      </c>
      <c r="N12" s="7"/>
      <c r="O12" s="7"/>
      <c r="P12" s="7"/>
      <c r="Q12" s="7"/>
      <c r="R12" s="7"/>
    </row>
    <row r="13" ht="15.75" customHeight="1">
      <c r="F13" s="12" t="s">
        <v>33</v>
      </c>
      <c r="G13" s="13"/>
      <c r="H13" s="14">
        <f>H12/(1+$B$37)</f>
        <v>0.3844752238</v>
      </c>
      <c r="I13" s="14">
        <f>I12/(1+$B$37)^2</f>
        <v>0.4131549062</v>
      </c>
      <c r="J13" s="14">
        <f>J12/(1+$B$37)^3</f>
        <v>0.4323931074</v>
      </c>
      <c r="K13" s="14">
        <f>K12/(1+$B$37)^4</f>
        <v>0.1606120807</v>
      </c>
      <c r="L13" s="14">
        <f>L12/(1+$B$37)^5</f>
        <v>0.366127966</v>
      </c>
      <c r="M13" s="15">
        <f>(M12/(B37-B39))/(1+B37)^5</f>
        <v>8.436044925</v>
      </c>
      <c r="N13" s="7"/>
      <c r="O13" s="7"/>
      <c r="P13" s="7"/>
      <c r="Q13" s="7"/>
      <c r="R13" s="7"/>
    </row>
    <row r="14" ht="15.75" customHeight="1"/>
    <row r="15" ht="15.75" customHeight="1">
      <c r="A15" s="16" t="s">
        <v>13</v>
      </c>
      <c r="B15" s="17"/>
    </row>
    <row r="16" ht="15.75" customHeight="1">
      <c r="B16" s="18"/>
    </row>
    <row r="17" ht="15.75" customHeight="1">
      <c r="A17" s="2" t="s">
        <v>14</v>
      </c>
      <c r="B17" s="20">
        <f>Optimistisch!B21</f>
        <v>0.02725</v>
      </c>
    </row>
    <row r="18" ht="15.75" customHeight="1">
      <c r="B18" s="18"/>
    </row>
    <row r="19" ht="15.75" customHeight="1">
      <c r="A19" s="2" t="s">
        <v>15</v>
      </c>
      <c r="B19" s="20">
        <f>(B21-B17)*B23</f>
        <v>0.0294975</v>
      </c>
    </row>
    <row r="20" ht="15.75" customHeight="1">
      <c r="B20" s="18"/>
    </row>
    <row r="21" ht="15.75" customHeight="1">
      <c r="A21" s="2" t="s">
        <v>16</v>
      </c>
      <c r="B21" s="20">
        <f>Optimistisch!B25</f>
        <v>0.07</v>
      </c>
    </row>
    <row r="22" ht="15.75" customHeight="1">
      <c r="B22" s="18"/>
    </row>
    <row r="23" ht="15.75" customHeight="1">
      <c r="A23" s="2" t="s">
        <v>17</v>
      </c>
      <c r="B23" s="21">
        <f>Optimistisch!B27</f>
        <v>0.69</v>
      </c>
    </row>
    <row r="24" ht="15.75" customHeight="1">
      <c r="B24" s="18"/>
    </row>
    <row r="25" ht="15.75" customHeight="1">
      <c r="A25" s="22" t="s">
        <v>18</v>
      </c>
      <c r="B25" s="23">
        <f>B17+(B21-B17)*B23</f>
        <v>0.0567475</v>
      </c>
    </row>
    <row r="26" ht="15.75" customHeight="1"/>
    <row r="27" ht="15.75" customHeight="1">
      <c r="A27" s="28" t="s">
        <v>34</v>
      </c>
      <c r="B27" s="17"/>
    </row>
    <row r="28" ht="15.75" customHeight="1">
      <c r="A28" s="30"/>
      <c r="B28" s="18"/>
    </row>
    <row r="29" ht="15.75" customHeight="1">
      <c r="A29" s="30" t="s">
        <v>35</v>
      </c>
      <c r="B29" s="21">
        <f>C42</f>
        <v>6.8533704</v>
      </c>
    </row>
    <row r="30" ht="15.75" customHeight="1">
      <c r="A30" s="30"/>
      <c r="B30" s="18"/>
    </row>
    <row r="31" ht="15.75" customHeight="1">
      <c r="A31" s="30" t="s">
        <v>36</v>
      </c>
      <c r="B31" s="21">
        <v>2.5598</v>
      </c>
    </row>
    <row r="32" ht="15.75" customHeight="1">
      <c r="A32" s="30"/>
      <c r="B32" s="18"/>
    </row>
    <row r="33" ht="15.75" customHeight="1">
      <c r="A33" s="30" t="s">
        <v>37</v>
      </c>
      <c r="B33" s="20">
        <v>0.042</v>
      </c>
    </row>
    <row r="34" ht="15.75" customHeight="1">
      <c r="A34" s="30"/>
      <c r="B34" s="18"/>
    </row>
    <row r="35" ht="15.75" customHeight="1">
      <c r="A35" s="30" t="s">
        <v>38</v>
      </c>
      <c r="B35" s="20">
        <v>0.2</v>
      </c>
    </row>
    <row r="36" ht="15.75" customHeight="1">
      <c r="A36" s="30"/>
      <c r="B36" s="18"/>
    </row>
    <row r="37" ht="15.75" customHeight="1">
      <c r="A37" s="34" t="s">
        <v>39</v>
      </c>
      <c r="B37" s="23">
        <f>B25*(B29/(B29+B31))+B33*(B31/(B29+B31))*(1-B35)</f>
        <v>0.05045281203</v>
      </c>
    </row>
    <row r="38" ht="15.75" customHeight="1">
      <c r="B38" s="10"/>
    </row>
    <row r="39" ht="15.75" customHeight="1">
      <c r="A39" s="2" t="s">
        <v>40</v>
      </c>
      <c r="B39" s="10">
        <v>0.01</v>
      </c>
    </row>
    <row r="40" ht="15.75" customHeight="1"/>
    <row r="41" ht="15.75" customHeight="1">
      <c r="A41" s="3"/>
      <c r="B41" s="3"/>
      <c r="C41" s="24">
        <f>Optimistisch!C31</f>
        <v>45359</v>
      </c>
      <c r="D41" s="25" t="s">
        <v>19</v>
      </c>
    </row>
    <row r="42" ht="15.75" customHeight="1">
      <c r="A42" s="5" t="s">
        <v>20</v>
      </c>
      <c r="B42" s="5" t="s">
        <v>21</v>
      </c>
      <c r="C42" s="8">
        <f>C43*C44</f>
        <v>6.8533704</v>
      </c>
      <c r="D42" s="8">
        <f>SUM(H13:M13)-B31</f>
        <v>7.633008209</v>
      </c>
    </row>
    <row r="43" ht="15.75" customHeight="1">
      <c r="A43" s="5"/>
      <c r="B43" s="5" t="s">
        <v>22</v>
      </c>
      <c r="C43" s="8">
        <f>Optimistisch!C33</f>
        <v>0.40008</v>
      </c>
      <c r="D43" s="8">
        <f>C43</f>
        <v>0.40008</v>
      </c>
    </row>
    <row r="44" ht="15.75" customHeight="1">
      <c r="A44" s="5"/>
      <c r="B44" s="5" t="s">
        <v>23</v>
      </c>
      <c r="C44" s="8">
        <f>Optimistisch!C34</f>
        <v>17.13</v>
      </c>
      <c r="D44" s="8">
        <f>D42/D43</f>
        <v>19.07870478</v>
      </c>
    </row>
    <row r="45" ht="15.75" customHeight="1">
      <c r="A45" s="5"/>
      <c r="B45" s="5" t="s">
        <v>24</v>
      </c>
      <c r="C45" s="5"/>
      <c r="D45" s="11">
        <f>IF(C44/D44-1&gt;0,0,C44/D44-1)*-1</f>
        <v>0.1021403079</v>
      </c>
    </row>
    <row r="46" ht="15.75" customHeight="1">
      <c r="A46" s="5"/>
      <c r="B46" s="5" t="s">
        <v>25</v>
      </c>
      <c r="C46" s="5"/>
      <c r="D46" s="11">
        <f>IF(C44/D44-1&lt;0,0,C44/D44-1)</f>
        <v>0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2023-11-01T21:06:40Z</dcterms:created>
  <dc:creator>Tilman Reichel</dc:creator>
</cp:coreProperties>
</file>