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VOPPot3R7Y2okFcmZuZPWqyyjWKBd9mdNEyHNRn6Gw0="/>
    </ext>
  </extLst>
</workbook>
</file>

<file path=xl/sharedStrings.xml><?xml version="1.0" encoding="utf-8"?>
<sst xmlns="http://schemas.openxmlformats.org/spreadsheetml/2006/main" count="118" uniqueCount="41">
  <si>
    <t>Discounted Net-Profit Modell</t>
  </si>
  <si>
    <t>Annahmen für Pool</t>
  </si>
  <si>
    <t>Alle Angaben in Mrd.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</si>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</sst>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2019.0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v>3.199517</v>
      </c>
      <c r="D10" s="7">
        <v>3.936623</v>
      </c>
      <c r="E10" s="7">
        <v>5.295584</v>
      </c>
      <c r="F10" s="7">
        <v>6.179727</v>
      </c>
      <c r="G10" s="7">
        <v>5.541595</v>
      </c>
      <c r="H10" s="8">
        <v>5.62379</v>
      </c>
      <c r="I10" s="8">
        <v>5.92373</v>
      </c>
      <c r="J10" s="8">
        <v>6.27344</v>
      </c>
      <c r="K10" s="8">
        <f t="shared" ref="K10:R10" si="2">J10*(1+K11)</f>
        <v>6.9635184</v>
      </c>
      <c r="L10" s="8">
        <f t="shared" si="2"/>
        <v>8.042863752</v>
      </c>
      <c r="M10" s="8">
        <f t="shared" si="2"/>
        <v>9.128650359</v>
      </c>
      <c r="N10" s="8">
        <f t="shared" si="2"/>
        <v>10.08715865</v>
      </c>
      <c r="O10" s="8">
        <f t="shared" si="2"/>
        <v>11.04543872</v>
      </c>
      <c r="P10" s="8">
        <f t="shared" si="2"/>
        <v>11.65293785</v>
      </c>
      <c r="Q10" s="8">
        <f t="shared" si="2"/>
        <v>12.75996694</v>
      </c>
      <c r="R10" s="8">
        <f t="shared" si="2"/>
        <v>13.01516628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0.230380398</v>
      </c>
      <c r="E11" s="10">
        <f t="shared" si="3"/>
        <v>0.345209841</v>
      </c>
      <c r="F11" s="10">
        <f t="shared" si="3"/>
        <v>0.1669585451</v>
      </c>
      <c r="G11" s="10">
        <f t="shared" si="3"/>
        <v>-0.1032621668</v>
      </c>
      <c r="H11" s="11">
        <f t="shared" si="3"/>
        <v>0.01483237227</v>
      </c>
      <c r="I11" s="11">
        <f t="shared" si="3"/>
        <v>0.05333413943</v>
      </c>
      <c r="J11" s="11">
        <f t="shared" si="3"/>
        <v>0.05903543882</v>
      </c>
      <c r="K11" s="11">
        <v>0.11</v>
      </c>
      <c r="L11" s="11">
        <v>0.155</v>
      </c>
      <c r="M11" s="11">
        <v>0.135</v>
      </c>
      <c r="N11" s="11">
        <v>0.105</v>
      </c>
      <c r="O11" s="11">
        <v>0.095</v>
      </c>
      <c r="P11" s="11">
        <v>0.055</v>
      </c>
      <c r="Q11" s="11">
        <v>0.095</v>
      </c>
      <c r="R11" s="11">
        <v>0.02</v>
      </c>
    </row>
    <row r="12" ht="15.75" customHeight="1">
      <c r="B12" s="2" t="s">
        <v>7</v>
      </c>
      <c r="C12" s="10">
        <f t="shared" ref="C12:J12" si="4">C13/C10</f>
        <v>0.1066554733</v>
      </c>
      <c r="D12" s="10">
        <f t="shared" si="4"/>
        <v>0.1178743812</v>
      </c>
      <c r="E12" s="10">
        <f t="shared" si="4"/>
        <v>0.1572600869</v>
      </c>
      <c r="F12" s="10">
        <f t="shared" si="4"/>
        <v>0.1659916368</v>
      </c>
      <c r="G12" s="10">
        <f t="shared" si="4"/>
        <v>0.1347205994</v>
      </c>
      <c r="H12" s="11">
        <f t="shared" si="4"/>
        <v>0.1315</v>
      </c>
      <c r="I12" s="11">
        <f t="shared" si="4"/>
        <v>0.136</v>
      </c>
      <c r="J12" s="11">
        <f t="shared" si="4"/>
        <v>0.1371</v>
      </c>
      <c r="K12" s="11">
        <v>0.1375</v>
      </c>
      <c r="L12" s="11">
        <v>0.115</v>
      </c>
      <c r="M12" s="11">
        <v>0.14</v>
      </c>
      <c r="N12" s="11">
        <v>0.1425</v>
      </c>
      <c r="O12" s="11">
        <v>0.145</v>
      </c>
      <c r="P12" s="11">
        <v>0.125</v>
      </c>
      <c r="Q12" s="11">
        <v>0.1475</v>
      </c>
      <c r="R12" s="11">
        <v>0.145</v>
      </c>
    </row>
    <row r="13" ht="15.75" customHeight="1">
      <c r="B13" s="2" t="s">
        <v>8</v>
      </c>
      <c r="C13" s="7">
        <v>0.341246</v>
      </c>
      <c r="D13" s="7">
        <v>0.464027</v>
      </c>
      <c r="E13" s="7">
        <v>0.832784</v>
      </c>
      <c r="F13" s="7">
        <v>1.025783</v>
      </c>
      <c r="G13" s="7">
        <v>0.746567</v>
      </c>
      <c r="H13" s="8">
        <v>0.739528385</v>
      </c>
      <c r="I13" s="8">
        <v>0.8056272800000001</v>
      </c>
      <c r="J13" s="8">
        <v>0.860088624</v>
      </c>
      <c r="K13" s="8">
        <f t="shared" ref="K13:R13" si="5">K10*K12</f>
        <v>0.95748378</v>
      </c>
      <c r="L13" s="8">
        <f t="shared" si="5"/>
        <v>0.9249293315</v>
      </c>
      <c r="M13" s="8">
        <f t="shared" si="5"/>
        <v>1.27801105</v>
      </c>
      <c r="N13" s="8">
        <f t="shared" si="5"/>
        <v>1.437420107</v>
      </c>
      <c r="O13" s="8">
        <f t="shared" si="5"/>
        <v>1.601588614</v>
      </c>
      <c r="P13" s="8">
        <f t="shared" si="5"/>
        <v>1.456617231</v>
      </c>
      <c r="Q13" s="8">
        <f t="shared" si="5"/>
        <v>1.882095124</v>
      </c>
      <c r="R13" s="8">
        <f t="shared" si="5"/>
        <v>1.887199111</v>
      </c>
    </row>
    <row r="14" ht="15.75" customHeight="1">
      <c r="A14" s="11">
        <v>0.2</v>
      </c>
      <c r="B14" s="2" t="s">
        <v>9</v>
      </c>
      <c r="C14" s="7">
        <v>0.261575</v>
      </c>
      <c r="D14" s="7">
        <v>0.366738</v>
      </c>
      <c r="E14" s="7">
        <v>0.650624</v>
      </c>
      <c r="F14" s="7">
        <v>0.748462</v>
      </c>
      <c r="G14" s="7">
        <v>0.523229</v>
      </c>
      <c r="H14" s="8">
        <v>0.510640132</v>
      </c>
      <c r="I14" s="8">
        <v>0.56867808</v>
      </c>
      <c r="J14" s="8">
        <v>0.624834624</v>
      </c>
      <c r="K14" s="8">
        <f t="shared" ref="K14:R14" si="6">K13*(1-$A$14)</f>
        <v>0.765987024</v>
      </c>
      <c r="L14" s="8">
        <f t="shared" si="6"/>
        <v>0.7399434652</v>
      </c>
      <c r="M14" s="8">
        <f t="shared" si="6"/>
        <v>1.02240884</v>
      </c>
      <c r="N14" s="8">
        <f t="shared" si="6"/>
        <v>1.149936086</v>
      </c>
      <c r="O14" s="8">
        <f t="shared" si="6"/>
        <v>1.281270891</v>
      </c>
      <c r="P14" s="8">
        <f t="shared" si="6"/>
        <v>1.165293785</v>
      </c>
      <c r="Q14" s="8">
        <f t="shared" si="6"/>
        <v>1.505676099</v>
      </c>
      <c r="R14" s="8">
        <f t="shared" si="6"/>
        <v>1.509759289</v>
      </c>
    </row>
    <row r="15" ht="15.75" customHeight="1">
      <c r="A15" s="11">
        <v>0.985</v>
      </c>
      <c r="B15" s="2" t="s">
        <v>10</v>
      </c>
      <c r="H15" s="8">
        <f>C33</f>
        <v>0.038376151</v>
      </c>
      <c r="I15" s="8">
        <f t="shared" ref="I15:Q15" si="7">H15*$A$15</f>
        <v>0.03780050874</v>
      </c>
      <c r="J15" s="8">
        <f t="shared" si="7"/>
        <v>0.0372335011</v>
      </c>
      <c r="K15" s="8">
        <f t="shared" si="7"/>
        <v>0.03667499859</v>
      </c>
      <c r="L15" s="8">
        <f t="shared" si="7"/>
        <v>0.03612487361</v>
      </c>
      <c r="M15" s="8">
        <f t="shared" si="7"/>
        <v>0.0355830005</v>
      </c>
      <c r="N15" s="8">
        <f t="shared" si="7"/>
        <v>0.0350492555</v>
      </c>
      <c r="O15" s="8">
        <f t="shared" si="7"/>
        <v>0.03452351666</v>
      </c>
      <c r="P15" s="8">
        <f t="shared" si="7"/>
        <v>0.03400566391</v>
      </c>
      <c r="Q15" s="8">
        <f t="shared" si="7"/>
        <v>0.03349557896</v>
      </c>
      <c r="R15" s="6" t="s">
        <v>6</v>
      </c>
    </row>
    <row r="16" ht="15.75" customHeight="1">
      <c r="B16" s="2" t="s">
        <v>11</v>
      </c>
      <c r="H16" s="8">
        <f t="shared" ref="H16:Q16" si="8">H14/H15</f>
        <v>13.30618415</v>
      </c>
      <c r="I16" s="8">
        <f t="shared" si="8"/>
        <v>15.04419118</v>
      </c>
      <c r="J16" s="8">
        <f t="shared" si="8"/>
        <v>16.78151679</v>
      </c>
      <c r="K16" s="8">
        <f t="shared" si="8"/>
        <v>20.88580923</v>
      </c>
      <c r="L16" s="8">
        <f t="shared" si="8"/>
        <v>20.48293575</v>
      </c>
      <c r="M16" s="8">
        <f t="shared" si="8"/>
        <v>28.73306988</v>
      </c>
      <c r="N16" s="8">
        <f t="shared" si="8"/>
        <v>32.80914443</v>
      </c>
      <c r="O16" s="8">
        <f t="shared" si="8"/>
        <v>37.11298891</v>
      </c>
      <c r="P16" s="8">
        <f t="shared" si="8"/>
        <v>34.26763811</v>
      </c>
      <c r="Q16" s="8">
        <f t="shared" si="8"/>
        <v>44.95148751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0.4754954989</v>
      </c>
      <c r="I17" s="14">
        <f>I14/(1+$B$29)^2</f>
        <v>0.4930936633</v>
      </c>
      <c r="J17" s="14">
        <f>J14/(1+$B$29)^3</f>
        <v>0.5044980439</v>
      </c>
      <c r="K17" s="14">
        <f>K14/(1+$B$29)^4</f>
        <v>0.5759002654</v>
      </c>
      <c r="L17" s="14">
        <f>L14/(1+$B$29)^5</f>
        <v>0.5180311456</v>
      </c>
      <c r="M17" s="14">
        <f>M14/(1+$B$29)^6</f>
        <v>0.6665203212</v>
      </c>
      <c r="N17" s="14">
        <f>N14/(1+$B$29)^7</f>
        <v>0.6980619533</v>
      </c>
      <c r="O17" s="14">
        <f>O14/(1+$B$29)^8</f>
        <v>0.7242569839</v>
      </c>
      <c r="P17" s="14">
        <f>P14/(1+$B$29)^9</f>
        <v>0.6133644889</v>
      </c>
      <c r="Q17" s="14">
        <f>Q14/(1+$B$29)^10</f>
        <v>0.7379827689</v>
      </c>
      <c r="R17" s="15">
        <f>(R14/(B29-R11))/(1+B29)^10</f>
        <v>13.72587862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0.04206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0.0318516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1.14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0.0739116</v>
      </c>
    </row>
    <row r="30" ht="15.75" customHeight="1"/>
    <row r="31" ht="15.75" customHeight="1">
      <c r="A31" s="3"/>
      <c r="B31" s="3"/>
      <c r="C31" s="24">
        <v>45380.0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15.48477693</v>
      </c>
      <c r="D32" s="8">
        <f>SUM(H17:R17)</f>
        <v>19.73308376</v>
      </c>
    </row>
    <row r="33" ht="15.75" customHeight="1">
      <c r="A33" s="5"/>
      <c r="B33" s="5" t="s">
        <v>22</v>
      </c>
      <c r="C33" s="8">
        <f>0.038376151</f>
        <v>0.038376151</v>
      </c>
      <c r="D33" s="8">
        <f>C33</f>
        <v>0.038376151</v>
      </c>
    </row>
    <row r="34" ht="15.75" customHeight="1">
      <c r="A34" s="5"/>
      <c r="B34" s="5" t="s">
        <v>23</v>
      </c>
      <c r="C34" s="26">
        <v>403.5</v>
      </c>
      <c r="D34" s="8">
        <f>D32/D33</f>
        <v>514.2017436</v>
      </c>
    </row>
    <row r="35" ht="15.75" customHeight="1">
      <c r="A35" s="5"/>
      <c r="B35" s="5" t="s">
        <v>24</v>
      </c>
      <c r="C35" s="5"/>
      <c r="D35" s="11">
        <f>IF(C34/D34-1&gt;0,0,C34/D34-1)*-1</f>
        <v>0.2152885419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25.0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1123.787188</v>
      </c>
    </row>
    <row r="43" ht="15.75" customHeight="1">
      <c r="A43" s="30"/>
      <c r="D43" s="18"/>
    </row>
    <row r="44" ht="15.75" customHeight="1">
      <c r="A44" s="30" t="s">
        <v>27</v>
      </c>
      <c r="D44" s="20">
        <v>0.4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105.7499864</v>
      </c>
    </row>
    <row r="47" ht="15.75" customHeight="1">
      <c r="A47" s="30"/>
      <c r="D47" s="18"/>
    </row>
    <row r="48" ht="15.75" customHeight="1">
      <c r="A48" s="30" t="s">
        <v>29</v>
      </c>
      <c r="D48" s="20"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1213.674676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2.007867847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0.1164155454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Pool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3.199517</v>
      </c>
      <c r="D10" s="7">
        <f>Optimistisch!D10</f>
        <v>3.936623</v>
      </c>
      <c r="E10" s="7">
        <f>Optimistisch!E10</f>
        <v>5.295584</v>
      </c>
      <c r="F10" s="7">
        <f>Optimistisch!F10</f>
        <v>6.179727</v>
      </c>
      <c r="G10" s="7">
        <f>Optimistisch!G10</f>
        <v>5.541595</v>
      </c>
      <c r="H10" s="8">
        <f>Optimistisch!H10</f>
        <v>5.62379</v>
      </c>
      <c r="I10" s="8">
        <f>Optimistisch!I10</f>
        <v>5.92373</v>
      </c>
      <c r="J10" s="8">
        <f>Optimistisch!J10</f>
        <v>6.27344</v>
      </c>
      <c r="K10" s="8">
        <f t="shared" ref="K10:R10" si="2">J10*(1+K11)</f>
        <v>6.8694168</v>
      </c>
      <c r="L10" s="8">
        <f t="shared" si="2"/>
        <v>7.659399732</v>
      </c>
      <c r="M10" s="8">
        <f t="shared" si="2"/>
        <v>8.310448709</v>
      </c>
      <c r="N10" s="8">
        <f t="shared" si="2"/>
        <v>8.684418901</v>
      </c>
      <c r="O10" s="8">
        <f t="shared" si="2"/>
        <v>9.24890613</v>
      </c>
      <c r="P10" s="8">
        <f t="shared" si="2"/>
        <v>9.618862375</v>
      </c>
      <c r="Q10" s="8">
        <f t="shared" si="2"/>
        <v>9.763145311</v>
      </c>
      <c r="R10" s="8">
        <f t="shared" si="2"/>
        <v>9.90959249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0.230380398</v>
      </c>
      <c r="E11" s="10">
        <f t="shared" si="3"/>
        <v>0.345209841</v>
      </c>
      <c r="F11" s="10">
        <f t="shared" si="3"/>
        <v>0.1669585451</v>
      </c>
      <c r="G11" s="10">
        <f t="shared" si="3"/>
        <v>-0.1032621668</v>
      </c>
      <c r="H11" s="11">
        <f t="shared" si="3"/>
        <v>0.01483237227</v>
      </c>
      <c r="I11" s="11">
        <f t="shared" si="3"/>
        <v>0.05333413943</v>
      </c>
      <c r="J11" s="11">
        <f t="shared" si="3"/>
        <v>0.05903543882</v>
      </c>
      <c r="K11" s="11">
        <v>0.095</v>
      </c>
      <c r="L11" s="11">
        <v>0.115</v>
      </c>
      <c r="M11" s="11">
        <v>0.085</v>
      </c>
      <c r="N11" s="11">
        <v>0.045</v>
      </c>
      <c r="O11" s="11">
        <v>0.065</v>
      </c>
      <c r="P11" s="11">
        <v>0.04</v>
      </c>
      <c r="Q11" s="11">
        <v>0.015</v>
      </c>
      <c r="R11" s="11">
        <v>0.015</v>
      </c>
    </row>
    <row r="12" ht="15.75" customHeight="1">
      <c r="B12" s="2" t="s">
        <v>7</v>
      </c>
      <c r="C12" s="10">
        <f t="shared" ref="C12:J12" si="4">C13/C10</f>
        <v>0.1066554733</v>
      </c>
      <c r="D12" s="10">
        <f t="shared" si="4"/>
        <v>0.1178743812</v>
      </c>
      <c r="E12" s="10">
        <f t="shared" si="4"/>
        <v>0.1572600869</v>
      </c>
      <c r="F12" s="10">
        <f t="shared" si="4"/>
        <v>0.1659916368</v>
      </c>
      <c r="G12" s="10">
        <f t="shared" si="4"/>
        <v>0.1347205994</v>
      </c>
      <c r="H12" s="11">
        <f t="shared" si="4"/>
        <v>0.1315</v>
      </c>
      <c r="I12" s="11">
        <f t="shared" si="4"/>
        <v>0.136</v>
      </c>
      <c r="J12" s="11">
        <f t="shared" si="4"/>
        <v>0.1371</v>
      </c>
      <c r="K12" s="11">
        <v>0.135</v>
      </c>
      <c r="L12" s="11">
        <v>0.095</v>
      </c>
      <c r="M12" s="11">
        <v>0.1225</v>
      </c>
      <c r="N12" s="11">
        <v>0.115</v>
      </c>
      <c r="O12" s="11">
        <v>0.08</v>
      </c>
      <c r="P12" s="11">
        <v>0.1075</v>
      </c>
      <c r="Q12" s="11">
        <v>0.11</v>
      </c>
      <c r="R12" s="11">
        <v>0.1025</v>
      </c>
    </row>
    <row r="13" ht="15.75" customHeight="1">
      <c r="B13" s="2" t="s">
        <v>8</v>
      </c>
      <c r="C13" s="7">
        <f>Optimistisch!C13</f>
        <v>0.341246</v>
      </c>
      <c r="D13" s="7">
        <f>Optimistisch!D13</f>
        <v>0.464027</v>
      </c>
      <c r="E13" s="7">
        <f>Optimistisch!E13</f>
        <v>0.832784</v>
      </c>
      <c r="F13" s="7">
        <f>Optimistisch!F13</f>
        <v>1.025783</v>
      </c>
      <c r="G13" s="7">
        <f>Optimistisch!G13</f>
        <v>0.746567</v>
      </c>
      <c r="H13" s="8">
        <f>Optimistisch!H13</f>
        <v>0.739528385</v>
      </c>
      <c r="I13" s="8">
        <f>Optimistisch!I13</f>
        <v>0.80562728</v>
      </c>
      <c r="J13" s="8">
        <f>Optimistisch!J13</f>
        <v>0.860088624</v>
      </c>
      <c r="K13" s="8">
        <f t="shared" ref="K13:R13" si="5">K10*K12</f>
        <v>0.927371268</v>
      </c>
      <c r="L13" s="8">
        <f t="shared" si="5"/>
        <v>0.7276429745</v>
      </c>
      <c r="M13" s="8">
        <f t="shared" si="5"/>
        <v>1.018029967</v>
      </c>
      <c r="N13" s="8">
        <f t="shared" si="5"/>
        <v>0.9987081736</v>
      </c>
      <c r="O13" s="8">
        <f t="shared" si="5"/>
        <v>0.7399124904</v>
      </c>
      <c r="P13" s="8">
        <f t="shared" si="5"/>
        <v>1.034027705</v>
      </c>
      <c r="Q13" s="8">
        <f t="shared" si="5"/>
        <v>1.073945984</v>
      </c>
      <c r="R13" s="8">
        <f t="shared" si="5"/>
        <v>1.01573323</v>
      </c>
    </row>
    <row r="14" ht="15.75" customHeight="1">
      <c r="A14" s="11">
        <v>0.25</v>
      </c>
      <c r="B14" s="2" t="s">
        <v>9</v>
      </c>
      <c r="C14" s="7">
        <f>Optimistisch!C14</f>
        <v>0.261575</v>
      </c>
      <c r="D14" s="7">
        <f>Optimistisch!D14</f>
        <v>0.366738</v>
      </c>
      <c r="E14" s="7">
        <f>Optimistisch!E14</f>
        <v>0.650624</v>
      </c>
      <c r="F14" s="7">
        <f>Optimistisch!F14</f>
        <v>0.748462</v>
      </c>
      <c r="G14" s="7">
        <f>Optimistisch!G14</f>
        <v>0.523229</v>
      </c>
      <c r="H14" s="8">
        <f>Optimistisch!H14</f>
        <v>0.510640132</v>
      </c>
      <c r="I14" s="8">
        <f>Optimistisch!I14</f>
        <v>0.56867808</v>
      </c>
      <c r="J14" s="8">
        <f>Optimistisch!J14</f>
        <v>0.624834624</v>
      </c>
      <c r="K14" s="8">
        <f t="shared" ref="K14:R14" si="6">K13*(1-$A$14)</f>
        <v>0.695528451</v>
      </c>
      <c r="L14" s="8">
        <f t="shared" si="6"/>
        <v>0.5457322309</v>
      </c>
      <c r="M14" s="8">
        <f t="shared" si="6"/>
        <v>0.7635224752</v>
      </c>
      <c r="N14" s="8">
        <f t="shared" si="6"/>
        <v>0.7490311302</v>
      </c>
      <c r="O14" s="8">
        <f t="shared" si="6"/>
        <v>0.5549343678</v>
      </c>
      <c r="P14" s="8">
        <f t="shared" si="6"/>
        <v>0.775520779</v>
      </c>
      <c r="Q14" s="8">
        <f t="shared" si="6"/>
        <v>0.8054594881</v>
      </c>
      <c r="R14" s="8">
        <f t="shared" si="6"/>
        <v>0.7617999227</v>
      </c>
    </row>
    <row r="15" ht="15.75" customHeight="1">
      <c r="A15" s="11">
        <v>0.995</v>
      </c>
      <c r="B15" s="2" t="s">
        <v>10</v>
      </c>
      <c r="H15" s="8">
        <f>C33</f>
        <v>0.038376151</v>
      </c>
      <c r="I15" s="8">
        <f t="shared" ref="I15:Q15" si="7">H15*$A$15</f>
        <v>0.03818427025</v>
      </c>
      <c r="J15" s="8">
        <f t="shared" si="7"/>
        <v>0.03799334889</v>
      </c>
      <c r="K15" s="8">
        <f t="shared" si="7"/>
        <v>0.03780338215</v>
      </c>
      <c r="L15" s="8">
        <f t="shared" si="7"/>
        <v>0.03761436524</v>
      </c>
      <c r="M15" s="8">
        <f t="shared" si="7"/>
        <v>0.03742629341</v>
      </c>
      <c r="N15" s="8">
        <f t="shared" si="7"/>
        <v>0.03723916195</v>
      </c>
      <c r="O15" s="8">
        <f t="shared" si="7"/>
        <v>0.03705296614</v>
      </c>
      <c r="P15" s="8">
        <f t="shared" si="7"/>
        <v>0.0368677013</v>
      </c>
      <c r="Q15" s="8">
        <f t="shared" si="7"/>
        <v>0.0366833628</v>
      </c>
      <c r="R15" s="6" t="s">
        <v>6</v>
      </c>
    </row>
    <row r="16" ht="15.75" customHeight="1">
      <c r="B16" s="2" t="s">
        <v>11</v>
      </c>
      <c r="H16" s="8">
        <f t="shared" ref="H16:Q16" si="8">H14/H15</f>
        <v>13.30618415</v>
      </c>
      <c r="I16" s="8">
        <f t="shared" si="8"/>
        <v>14.89299328</v>
      </c>
      <c r="J16" s="8">
        <f t="shared" si="8"/>
        <v>16.44589493</v>
      </c>
      <c r="K16" s="8">
        <f t="shared" si="8"/>
        <v>18.39857736</v>
      </c>
      <c r="L16" s="8">
        <f t="shared" si="8"/>
        <v>14.508612</v>
      </c>
      <c r="M16" s="8">
        <f t="shared" si="8"/>
        <v>20.40069709</v>
      </c>
      <c r="N16" s="8">
        <f t="shared" si="8"/>
        <v>20.11407054</v>
      </c>
      <c r="O16" s="8">
        <f t="shared" si="8"/>
        <v>14.97678663</v>
      </c>
      <c r="P16" s="8">
        <f t="shared" si="8"/>
        <v>21.03523549</v>
      </c>
      <c r="Q16" s="8">
        <f t="shared" si="8"/>
        <v>21.95707881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0.4754954989</v>
      </c>
      <c r="I17" s="14">
        <f>I14/(1+$B$29)^2</f>
        <v>0.4930936633</v>
      </c>
      <c r="J17" s="14">
        <f>J14/(1+$B$29)^3</f>
        <v>0.5044980439</v>
      </c>
      <c r="K17" s="14">
        <f>K14/(1+$B$29)^4</f>
        <v>0.5229266384</v>
      </c>
      <c r="L17" s="14">
        <f>L14/(1+$B$29)^5</f>
        <v>0.3820647199</v>
      </c>
      <c r="M17" s="14">
        <f>M14/(1+$B$29)^6</f>
        <v>0.4977492618</v>
      </c>
      <c r="N17" s="14">
        <f>N14/(1+$B$29)^7</f>
        <v>0.4546949525</v>
      </c>
      <c r="O17" s="14">
        <f>O14/(1+$B$29)^8</f>
        <v>0.3136847127</v>
      </c>
      <c r="P17" s="14">
        <f>P14/(1+$B$29)^9</f>
        <v>0.4082034183</v>
      </c>
      <c r="Q17" s="14">
        <f>Q14/(1+$B$29)^10</f>
        <v>0.3947829308</v>
      </c>
      <c r="R17" s="15">
        <f>(R14/(B29-R11))/(1+B29)^10</f>
        <v>6.338037016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0.04206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0.0318516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1.14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0.0739116</v>
      </c>
    </row>
    <row r="30" ht="15.75" customHeight="1"/>
    <row r="31" ht="15.75" customHeight="1">
      <c r="A31" s="3"/>
      <c r="B31" s="3"/>
      <c r="C31" s="24">
        <f>Optimistisch!C31</f>
        <v>45380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15.48477693</v>
      </c>
      <c r="D32" s="8">
        <f>SUM(H17:R17)</f>
        <v>10.78523086</v>
      </c>
    </row>
    <row r="33" ht="15.75" customHeight="1">
      <c r="A33" s="5"/>
      <c r="B33" s="5" t="s">
        <v>22</v>
      </c>
      <c r="C33" s="8">
        <f>Optimistisch!C33</f>
        <v>0.038376151</v>
      </c>
      <c r="D33" s="8">
        <f>C33</f>
        <v>0.038376151</v>
      </c>
    </row>
    <row r="34" ht="15.75" customHeight="1">
      <c r="A34" s="5"/>
      <c r="B34" s="5" t="s">
        <v>23</v>
      </c>
      <c r="C34" s="8">
        <f>Optimistisch!C34</f>
        <v>403.5</v>
      </c>
      <c r="D34" s="8">
        <f>D32/D33</f>
        <v>281.0399317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0.4357390338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20.0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439.1415763</v>
      </c>
    </row>
    <row r="43" ht="15.75" customHeight="1">
      <c r="A43" s="30"/>
      <c r="D43" s="18"/>
    </row>
    <row r="44" ht="15.75" customHeight="1">
      <c r="A44" s="30" t="s">
        <v>27</v>
      </c>
      <c r="D44" s="20">
        <v>0.3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52.81083908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484.0307895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0.1995806431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0.01836378115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Pool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3.199517</v>
      </c>
      <c r="D10" s="7">
        <f>Optimistisch!D10</f>
        <v>3.936623</v>
      </c>
      <c r="E10" s="7">
        <f>Optimistisch!E10</f>
        <v>5.295584</v>
      </c>
      <c r="F10" s="7">
        <f>Optimistisch!F10</f>
        <v>6.179727</v>
      </c>
      <c r="G10" s="7">
        <f>Optimistisch!G10</f>
        <v>5.541595</v>
      </c>
      <c r="H10" s="8">
        <f t="shared" ref="H10:R10" si="2">G10*(1+H11)</f>
        <v>5.860236713</v>
      </c>
      <c r="I10" s="8">
        <f t="shared" si="2"/>
        <v>6.197200323</v>
      </c>
      <c r="J10" s="8">
        <f t="shared" si="2"/>
        <v>6.553539342</v>
      </c>
      <c r="K10" s="8">
        <f t="shared" si="2"/>
        <v>6.930367854</v>
      </c>
      <c r="L10" s="8">
        <f t="shared" si="2"/>
        <v>7.328864006</v>
      </c>
      <c r="M10" s="8">
        <f t="shared" si="2"/>
        <v>7.750273686</v>
      </c>
      <c r="N10" s="8">
        <f t="shared" si="2"/>
        <v>8.195914423</v>
      </c>
      <c r="O10" s="8">
        <f t="shared" si="2"/>
        <v>8.667179502</v>
      </c>
      <c r="P10" s="8">
        <f t="shared" si="2"/>
        <v>9.165542324</v>
      </c>
      <c r="Q10" s="8">
        <f t="shared" si="2"/>
        <v>9.692561007</v>
      </c>
      <c r="R10" s="8">
        <f t="shared" si="2"/>
        <v>9.886412228</v>
      </c>
    </row>
    <row r="11" ht="15.75" customHeight="1">
      <c r="B11" s="2" t="s">
        <v>5</v>
      </c>
      <c r="C11" s="9" t="s">
        <v>6</v>
      </c>
      <c r="D11" s="10">
        <f t="shared" ref="D11:G11" si="3">D10/C10-1</f>
        <v>0.230380398</v>
      </c>
      <c r="E11" s="10">
        <f t="shared" si="3"/>
        <v>0.345209841</v>
      </c>
      <c r="F11" s="10">
        <f t="shared" si="3"/>
        <v>0.1669585451</v>
      </c>
      <c r="G11" s="10">
        <f t="shared" si="3"/>
        <v>-0.1032621668</v>
      </c>
      <c r="H11" s="11">
        <v>0.0575</v>
      </c>
      <c r="I11" s="11">
        <f t="shared" ref="I11:Q11" si="4">$H$11</f>
        <v>0.0575</v>
      </c>
      <c r="J11" s="11">
        <f t="shared" si="4"/>
        <v>0.0575</v>
      </c>
      <c r="K11" s="11">
        <f t="shared" si="4"/>
        <v>0.0575</v>
      </c>
      <c r="L11" s="11">
        <f t="shared" si="4"/>
        <v>0.0575</v>
      </c>
      <c r="M11" s="11">
        <f t="shared" si="4"/>
        <v>0.0575</v>
      </c>
      <c r="N11" s="11">
        <f t="shared" si="4"/>
        <v>0.0575</v>
      </c>
      <c r="O11" s="11">
        <f t="shared" si="4"/>
        <v>0.0575</v>
      </c>
      <c r="P11" s="11">
        <f t="shared" si="4"/>
        <v>0.0575</v>
      </c>
      <c r="Q11" s="11">
        <f t="shared" si="4"/>
        <v>0.0575</v>
      </c>
      <c r="R11" s="11">
        <f>Optimistisch!R11</f>
        <v>0.02</v>
      </c>
    </row>
    <row r="12" ht="15.75" customHeight="1">
      <c r="B12" s="2" t="s">
        <v>7</v>
      </c>
      <c r="C12" s="10">
        <f t="shared" ref="C12:G12" si="5">C13/C10</f>
        <v>0.1066554733</v>
      </c>
      <c r="D12" s="10">
        <f t="shared" si="5"/>
        <v>0.1178743812</v>
      </c>
      <c r="E12" s="10">
        <f t="shared" si="5"/>
        <v>0.1572600869</v>
      </c>
      <c r="F12" s="10">
        <f t="shared" si="5"/>
        <v>0.1659916368</v>
      </c>
      <c r="G12" s="10">
        <f t="shared" si="5"/>
        <v>0.1347205994</v>
      </c>
      <c r="H12" s="11">
        <f>Optimistisch!H12</f>
        <v>0.1315</v>
      </c>
      <c r="I12" s="11">
        <f>Optimistisch!I12</f>
        <v>0.136</v>
      </c>
      <c r="J12" s="11">
        <f>Optimistisch!J12</f>
        <v>0.1371</v>
      </c>
      <c r="K12" s="11">
        <f>Optimistisch!K12</f>
        <v>0.1375</v>
      </c>
      <c r="L12" s="11">
        <f>Optimistisch!L12</f>
        <v>0.115</v>
      </c>
      <c r="M12" s="11">
        <f>Optimistisch!M12</f>
        <v>0.14</v>
      </c>
      <c r="N12" s="11">
        <f>Optimistisch!N12</f>
        <v>0.1425</v>
      </c>
      <c r="O12" s="11">
        <f>Optimistisch!O12</f>
        <v>0.145</v>
      </c>
      <c r="P12" s="11">
        <f>Optimistisch!P12</f>
        <v>0.125</v>
      </c>
      <c r="Q12" s="11">
        <f>Optimistisch!Q12</f>
        <v>0.1475</v>
      </c>
      <c r="R12" s="11">
        <f>Optimistisch!R12</f>
        <v>0.145</v>
      </c>
    </row>
    <row r="13" ht="15.75" customHeight="1">
      <c r="B13" s="2" t="s">
        <v>8</v>
      </c>
      <c r="C13" s="7">
        <f>Optimistisch!C13</f>
        <v>0.341246</v>
      </c>
      <c r="D13" s="7">
        <f>Optimistisch!D13</f>
        <v>0.464027</v>
      </c>
      <c r="E13" s="7">
        <f>Optimistisch!E13</f>
        <v>0.832784</v>
      </c>
      <c r="F13" s="7">
        <f>Optimistisch!F13</f>
        <v>1.025783</v>
      </c>
      <c r="G13" s="7">
        <f>Optimistisch!G13</f>
        <v>0.746567</v>
      </c>
      <c r="H13" s="8">
        <f t="shared" ref="H13:R13" si="6">H10*H12</f>
        <v>0.7706211277</v>
      </c>
      <c r="I13" s="8">
        <f t="shared" si="6"/>
        <v>0.842819244</v>
      </c>
      <c r="J13" s="8">
        <f t="shared" si="6"/>
        <v>0.8984902438</v>
      </c>
      <c r="K13" s="8">
        <f t="shared" si="6"/>
        <v>0.95292558</v>
      </c>
      <c r="L13" s="8">
        <f t="shared" si="6"/>
        <v>0.8428193607</v>
      </c>
      <c r="M13" s="8">
        <f t="shared" si="6"/>
        <v>1.085038316</v>
      </c>
      <c r="N13" s="8">
        <f t="shared" si="6"/>
        <v>1.167917805</v>
      </c>
      <c r="O13" s="8">
        <f t="shared" si="6"/>
        <v>1.256741028</v>
      </c>
      <c r="P13" s="8">
        <f t="shared" si="6"/>
        <v>1.14569279</v>
      </c>
      <c r="Q13" s="8">
        <f t="shared" si="6"/>
        <v>1.429652749</v>
      </c>
      <c r="R13" s="8">
        <f t="shared" si="6"/>
        <v>1.433529773</v>
      </c>
    </row>
    <row r="14" ht="15.75" customHeight="1">
      <c r="A14" s="11">
        <f>Optimistisch!A14</f>
        <v>0.2</v>
      </c>
      <c r="B14" s="2" t="s">
        <v>9</v>
      </c>
      <c r="C14" s="7">
        <f>Optimistisch!C14</f>
        <v>0.261575</v>
      </c>
      <c r="D14" s="7">
        <f>Optimistisch!D14</f>
        <v>0.366738</v>
      </c>
      <c r="E14" s="7">
        <f>Optimistisch!E14</f>
        <v>0.650624</v>
      </c>
      <c r="F14" s="7">
        <f>Optimistisch!F14</f>
        <v>0.748462</v>
      </c>
      <c r="G14" s="7">
        <f>Optimistisch!G14</f>
        <v>0.523229</v>
      </c>
      <c r="H14" s="8">
        <f t="shared" ref="H14:R14" si="7">H13*(1-$A$14)</f>
        <v>0.6164969022</v>
      </c>
      <c r="I14" s="8">
        <f t="shared" si="7"/>
        <v>0.6742553952</v>
      </c>
      <c r="J14" s="8">
        <f t="shared" si="7"/>
        <v>0.718792195</v>
      </c>
      <c r="K14" s="8">
        <f t="shared" si="7"/>
        <v>0.762340464</v>
      </c>
      <c r="L14" s="8">
        <f t="shared" si="7"/>
        <v>0.6742554885</v>
      </c>
      <c r="M14" s="8">
        <f t="shared" si="7"/>
        <v>0.8680306529</v>
      </c>
      <c r="N14" s="8">
        <f t="shared" si="7"/>
        <v>0.9343342442</v>
      </c>
      <c r="O14" s="8">
        <f t="shared" si="7"/>
        <v>1.005392822</v>
      </c>
      <c r="P14" s="8">
        <f t="shared" si="7"/>
        <v>0.9165542324</v>
      </c>
      <c r="Q14" s="8">
        <f t="shared" si="7"/>
        <v>1.143722199</v>
      </c>
      <c r="R14" s="8">
        <f t="shared" si="7"/>
        <v>1.146823818</v>
      </c>
    </row>
    <row r="15" ht="15.75" customHeight="1">
      <c r="A15" s="11">
        <f>Optimistisch!A15</f>
        <v>0.985</v>
      </c>
      <c r="B15" s="2" t="s">
        <v>10</v>
      </c>
      <c r="H15" s="8">
        <f>C33</f>
        <v>0.038376151</v>
      </c>
      <c r="I15" s="8">
        <f t="shared" ref="I15:Q15" si="8">H15*$A$15</f>
        <v>0.03780050874</v>
      </c>
      <c r="J15" s="8">
        <f t="shared" si="8"/>
        <v>0.0372335011</v>
      </c>
      <c r="K15" s="8">
        <f t="shared" si="8"/>
        <v>0.03667499859</v>
      </c>
      <c r="L15" s="8">
        <f t="shared" si="8"/>
        <v>0.03612487361</v>
      </c>
      <c r="M15" s="8">
        <f t="shared" si="8"/>
        <v>0.0355830005</v>
      </c>
      <c r="N15" s="8">
        <f t="shared" si="8"/>
        <v>0.0350492555</v>
      </c>
      <c r="O15" s="8">
        <f t="shared" si="8"/>
        <v>0.03452351666</v>
      </c>
      <c r="P15" s="8">
        <f t="shared" si="8"/>
        <v>0.03400566391</v>
      </c>
      <c r="Q15" s="8">
        <f t="shared" si="8"/>
        <v>0.03349557896</v>
      </c>
      <c r="R15" s="6" t="s">
        <v>6</v>
      </c>
    </row>
    <row r="16" ht="15.75" customHeight="1">
      <c r="B16" s="2" t="s">
        <v>11</v>
      </c>
      <c r="H16" s="8">
        <f t="shared" ref="H16:Q16" si="9">H14/H15</f>
        <v>16.06458402</v>
      </c>
      <c r="I16" s="8">
        <f t="shared" si="9"/>
        <v>17.83720425</v>
      </c>
      <c r="J16" s="8">
        <f t="shared" si="9"/>
        <v>19.3049854</v>
      </c>
      <c r="K16" s="8">
        <f t="shared" si="9"/>
        <v>20.78638019</v>
      </c>
      <c r="L16" s="8">
        <f t="shared" si="9"/>
        <v>18.6645771</v>
      </c>
      <c r="M16" s="8">
        <f t="shared" si="9"/>
        <v>24.39453224</v>
      </c>
      <c r="N16" s="8">
        <f t="shared" si="9"/>
        <v>26.65774867</v>
      </c>
      <c r="O16" s="8">
        <f t="shared" si="9"/>
        <v>29.12197016</v>
      </c>
      <c r="P16" s="8">
        <f t="shared" si="9"/>
        <v>26.95298744</v>
      </c>
      <c r="Q16" s="8">
        <f t="shared" si="9"/>
        <v>34.14546739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0.5740667129</v>
      </c>
      <c r="I17" s="14">
        <f>I14/(1+$B$29)^2</f>
        <v>0.5846384352</v>
      </c>
      <c r="J17" s="14">
        <f>J14/(1+$B$29)^3</f>
        <v>0.5803603744</v>
      </c>
      <c r="K17" s="14">
        <f>K14/(1+$B$29)^4</f>
        <v>0.5731586329</v>
      </c>
      <c r="L17" s="14">
        <f>L14/(1+$B$29)^5</f>
        <v>0.4720432838</v>
      </c>
      <c r="M17" s="14">
        <f>M14/(1+$B$29)^6</f>
        <v>0.5658793692</v>
      </c>
      <c r="N17" s="14">
        <f>N14/(1+$B$29)^7</f>
        <v>0.5671821205</v>
      </c>
      <c r="O17" s="14">
        <f>O14/(1+$B$29)^8</f>
        <v>0.5683128978</v>
      </c>
      <c r="P17" s="14">
        <f>P14/(1+$B$29)^9</f>
        <v>0.4824378416</v>
      </c>
      <c r="Q17" s="14">
        <f>Q14/(1+$B$29)^10</f>
        <v>0.5605769233</v>
      </c>
      <c r="R17" s="15">
        <f>(R14/(B29-R11))/(1+B29)^10</f>
        <v>10.42627434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0.04206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0.0318516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1.14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0.0739116</v>
      </c>
    </row>
    <row r="30" ht="15.75" customHeight="1"/>
    <row r="31" ht="15.75" customHeight="1">
      <c r="A31" s="3"/>
      <c r="B31" s="3"/>
      <c r="C31" s="24">
        <f>Optimistisch!C31</f>
        <v>45380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15.48477693</v>
      </c>
      <c r="D32" s="8">
        <f>SUM(H17:R17)</f>
        <v>15.95493094</v>
      </c>
    </row>
    <row r="33" ht="15.75" customHeight="1">
      <c r="A33" s="5"/>
      <c r="B33" s="5" t="s">
        <v>22</v>
      </c>
      <c r="C33" s="8">
        <f>Optimistisch!C33</f>
        <v>0.038376151</v>
      </c>
      <c r="D33" s="8">
        <f>C33</f>
        <v>0.038376151</v>
      </c>
    </row>
    <row r="34" ht="15.75" customHeight="1">
      <c r="A34" s="5"/>
      <c r="B34" s="5" t="s">
        <v>23</v>
      </c>
      <c r="C34" s="8">
        <f>Optimistisch!C34</f>
        <v>403.5</v>
      </c>
      <c r="D34" s="8">
        <f>D32/D33</f>
        <v>415.7512027</v>
      </c>
    </row>
    <row r="35" ht="15.75" customHeight="1">
      <c r="A35" s="5"/>
      <c r="B35" s="5" t="s">
        <v>24</v>
      </c>
      <c r="C35" s="5"/>
      <c r="D35" s="11">
        <f>IF(C34/D34-1&gt;0,0,C34/D34-1)*-1</f>
        <v>0.02946763032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29.0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990.2185543</v>
      </c>
    </row>
    <row r="43" ht="15.75" customHeight="1">
      <c r="A43" s="30"/>
      <c r="D43" s="18"/>
    </row>
    <row r="44" ht="15.75" customHeight="1">
      <c r="A44" s="30" t="s">
        <v>27</v>
      </c>
      <c r="D44" s="20">
        <f>Optimistisch!D44</f>
        <v>0.4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93.57217474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1069.754903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1.65118935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0.1024123622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Pool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2019</v>
      </c>
      <c r="D9" s="2">
        <f t="shared" ref="D9:M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R9" s="9"/>
    </row>
    <row r="10" ht="15.75" customHeight="1">
      <c r="B10" s="2" t="s">
        <v>4</v>
      </c>
      <c r="C10" s="7">
        <f>Optimistisch!C10</f>
        <v>3.199517</v>
      </c>
      <c r="D10" s="7">
        <f>Optimistisch!D10</f>
        <v>3.936623</v>
      </c>
      <c r="E10" s="7">
        <f>Optimistisch!E10</f>
        <v>5.295584</v>
      </c>
      <c r="F10" s="7">
        <f>Optimistisch!F10</f>
        <v>6.179727</v>
      </c>
      <c r="G10" s="7">
        <f>Optimistisch!G10</f>
        <v>5.541595</v>
      </c>
      <c r="H10" s="8">
        <f>Optimistisch!H10</f>
        <v>5.62379</v>
      </c>
      <c r="I10" s="8">
        <f>Optimistisch!I10</f>
        <v>5.92373</v>
      </c>
      <c r="J10" s="8">
        <f>Optimistisch!J10</f>
        <v>6.27344</v>
      </c>
      <c r="K10" s="8">
        <f>(Optimistisch!K10+Pessimistisch!K10)/2</f>
        <v>6.9164676</v>
      </c>
      <c r="L10" s="8">
        <f>(Optimistisch!L10+Pessimistisch!L10)/2</f>
        <v>7.851131742</v>
      </c>
      <c r="M10" s="8">
        <f>(Optimistisch!M10+Pessimistisch!M10)/2</f>
        <v>8.719549534</v>
      </c>
      <c r="N10" s="7"/>
      <c r="O10" s="7"/>
      <c r="P10" s="7"/>
      <c r="Q10" s="7"/>
      <c r="R10" s="7"/>
    </row>
    <row r="11" ht="15.75" customHeight="1">
      <c r="B11" s="2" t="s">
        <v>31</v>
      </c>
      <c r="C11" s="10">
        <f t="shared" ref="C11:G11" si="2">C12/C10</f>
        <v>0.08295002027</v>
      </c>
      <c r="D11" s="10">
        <f t="shared" si="2"/>
        <v>0.09548793471</v>
      </c>
      <c r="E11" s="10">
        <f t="shared" si="2"/>
        <v>0.05208113024</v>
      </c>
      <c r="F11" s="10">
        <f t="shared" si="2"/>
        <v>0.07139473961</v>
      </c>
      <c r="G11" s="10">
        <f t="shared" si="2"/>
        <v>0.1494335115</v>
      </c>
      <c r="H11" s="11">
        <v>0.0894</v>
      </c>
      <c r="I11" s="11">
        <v>0.0985</v>
      </c>
      <c r="J11" s="11">
        <v>0.092</v>
      </c>
      <c r="K11" s="11">
        <v>0.0625</v>
      </c>
      <c r="L11" s="11">
        <v>0.095</v>
      </c>
      <c r="M11" s="11">
        <v>0.11</v>
      </c>
      <c r="N11" s="10"/>
      <c r="O11" s="10"/>
      <c r="P11" s="10"/>
      <c r="Q11" s="10"/>
      <c r="R11" s="10"/>
    </row>
    <row r="12" ht="15.75" customHeight="1">
      <c r="B12" s="2" t="s">
        <v>32</v>
      </c>
      <c r="C12" s="7">
        <v>0.2654</v>
      </c>
      <c r="D12" s="7">
        <v>0.3759</v>
      </c>
      <c r="E12" s="7">
        <v>0.2758</v>
      </c>
      <c r="F12" s="7">
        <v>0.4412</v>
      </c>
      <c r="G12" s="7">
        <v>0.8281</v>
      </c>
      <c r="H12" s="8">
        <f t="shared" ref="H12:M12" si="3">H10*H11</f>
        <v>0.502766826</v>
      </c>
      <c r="I12" s="8">
        <f t="shared" si="3"/>
        <v>0.583487405</v>
      </c>
      <c r="J12" s="8">
        <f t="shared" si="3"/>
        <v>0.57715648</v>
      </c>
      <c r="K12" s="8">
        <f t="shared" si="3"/>
        <v>0.432279225</v>
      </c>
      <c r="L12" s="8">
        <f t="shared" si="3"/>
        <v>0.7458575155</v>
      </c>
      <c r="M12" s="8">
        <f t="shared" si="3"/>
        <v>0.9591504487</v>
      </c>
      <c r="N12" s="7"/>
      <c r="O12" s="7"/>
      <c r="P12" s="7"/>
      <c r="Q12" s="7"/>
      <c r="R12" s="7"/>
    </row>
    <row r="13" ht="15.75" customHeight="1">
      <c r="F13" s="12" t="s">
        <v>33</v>
      </c>
      <c r="G13" s="13"/>
      <c r="H13" s="14">
        <f>H12/(1+$B$37)</f>
        <v>0.4690774323</v>
      </c>
      <c r="I13" s="14">
        <f>I12/(1+$B$37)^2</f>
        <v>0.5079106699</v>
      </c>
      <c r="J13" s="14">
        <f>J12/(1+$B$37)^3</f>
        <v>0.4687349662</v>
      </c>
      <c r="K13" s="14">
        <f>K12/(1+$B$37)^4</f>
        <v>0.3275488395</v>
      </c>
      <c r="L13" s="14">
        <f>L12/(1+$B$37)^5</f>
        <v>0.5272850965</v>
      </c>
      <c r="M13" s="15">
        <f>(M12/(B37-B39))/(1+B37)^5</f>
        <v>9.441211017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20">
        <f>Optimistisch!B21</f>
        <v>0.04206</v>
      </c>
    </row>
    <row r="18" ht="15.75" customHeight="1">
      <c r="B18" s="18"/>
    </row>
    <row r="19" ht="15.75" customHeight="1">
      <c r="A19" s="2" t="s">
        <v>15</v>
      </c>
      <c r="B19" s="20">
        <f>(B21-B17)*B23</f>
        <v>0.0318516</v>
      </c>
    </row>
    <row r="20" ht="15.75" customHeight="1">
      <c r="B20" s="18"/>
    </row>
    <row r="21" ht="15.75" customHeight="1">
      <c r="A21" s="2" t="s">
        <v>16</v>
      </c>
      <c r="B21" s="20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21">
        <f>Optimistisch!B27</f>
        <v>1.14</v>
      </c>
    </row>
    <row r="24" ht="15.75" customHeight="1">
      <c r="B24" s="18"/>
    </row>
    <row r="25" ht="15.75" customHeight="1">
      <c r="A25" s="22" t="s">
        <v>18</v>
      </c>
      <c r="B25" s="23">
        <f>B17+(B21-B17)*B23</f>
        <v>0.0739116</v>
      </c>
    </row>
    <row r="26" ht="15.75" customHeight="1"/>
    <row r="27" ht="15.75" customHeight="1">
      <c r="A27" s="28" t="s">
        <v>34</v>
      </c>
      <c r="B27" s="17"/>
    </row>
    <row r="28" ht="15.75" customHeight="1">
      <c r="A28" s="30"/>
      <c r="B28" s="18"/>
    </row>
    <row r="29" ht="15.75" customHeight="1">
      <c r="A29" s="30" t="s">
        <v>35</v>
      </c>
      <c r="B29" s="21">
        <f>C42</f>
        <v>15.48477693</v>
      </c>
    </row>
    <row r="30" ht="15.75" customHeight="1">
      <c r="A30" s="30"/>
      <c r="B30" s="18"/>
    </row>
    <row r="31" ht="15.75" customHeight="1">
      <c r="A31" s="30" t="s">
        <v>36</v>
      </c>
      <c r="B31" s="21">
        <v>1.05332</v>
      </c>
    </row>
    <row r="32" ht="15.75" customHeight="1">
      <c r="A32" s="30"/>
      <c r="B32" s="18"/>
    </row>
    <row r="33" ht="15.75" customHeight="1">
      <c r="A33" s="30" t="s">
        <v>37</v>
      </c>
      <c r="B33" s="20">
        <v>0.052</v>
      </c>
    </row>
    <row r="34" ht="15.75" customHeight="1">
      <c r="A34" s="30"/>
      <c r="B34" s="18"/>
    </row>
    <row r="35" ht="15.75" customHeight="1">
      <c r="A35" s="30" t="s">
        <v>38</v>
      </c>
      <c r="B35" s="20">
        <v>0.21</v>
      </c>
    </row>
    <row r="36" ht="15.75" customHeight="1">
      <c r="A36" s="30"/>
      <c r="B36" s="18"/>
    </row>
    <row r="37" ht="15.75" customHeight="1">
      <c r="A37" s="34" t="s">
        <v>39</v>
      </c>
      <c r="B37" s="23">
        <f>B25*(B29/(B29+B31))+B33*(B31/(B29+B31))*(1-B35)</f>
        <v>0.07182053831</v>
      </c>
    </row>
    <row r="38" ht="15.75" customHeight="1">
      <c r="B38" s="10"/>
    </row>
    <row r="39" ht="15.75" customHeight="1">
      <c r="A39" s="2" t="s">
        <v>40</v>
      </c>
      <c r="B39" s="10"/>
    </row>
    <row r="40" ht="15.75" customHeight="1"/>
    <row r="41" ht="15.75" customHeight="1">
      <c r="A41" s="3"/>
      <c r="B41" s="3"/>
      <c r="C41" s="24">
        <f>Optimistisch!C31</f>
        <v>45380</v>
      </c>
      <c r="D41" s="25" t="s">
        <v>19</v>
      </c>
    </row>
    <row r="42" ht="15.75" customHeight="1">
      <c r="A42" s="5" t="s">
        <v>20</v>
      </c>
      <c r="B42" s="5" t="s">
        <v>21</v>
      </c>
      <c r="C42" s="8">
        <f>C43*C44</f>
        <v>15.48477693</v>
      </c>
      <c r="D42" s="8">
        <f>SUM(H13:M13)-B31</f>
        <v>10.68844802</v>
      </c>
    </row>
    <row r="43" ht="15.75" customHeight="1">
      <c r="A43" s="5"/>
      <c r="B43" s="5" t="s">
        <v>22</v>
      </c>
      <c r="C43" s="8">
        <f>Optimistisch!C33</f>
        <v>0.038376151</v>
      </c>
      <c r="D43" s="8">
        <f>C43</f>
        <v>0.038376151</v>
      </c>
    </row>
    <row r="44" ht="15.75" customHeight="1">
      <c r="A44" s="5"/>
      <c r="B44" s="5" t="s">
        <v>23</v>
      </c>
      <c r="C44" s="8">
        <f>Optimistisch!C34</f>
        <v>403.5</v>
      </c>
      <c r="D44" s="8">
        <f>D42/D43</f>
        <v>278.5179791</v>
      </c>
    </row>
    <row r="45" ht="15.75" customHeight="1">
      <c r="A45" s="5"/>
      <c r="B45" s="5" t="s">
        <v>24</v>
      </c>
      <c r="C45" s="5"/>
      <c r="D45" s="11">
        <f>IF(C44/D44-1&gt;0,0,C44/D44-1)*-1</f>
        <v>0</v>
      </c>
    </row>
    <row r="46" ht="15.75" customHeight="1">
      <c r="A46" s="5"/>
      <c r="B46" s="5" t="s">
        <v>25</v>
      </c>
      <c r="C46" s="5"/>
      <c r="D46" s="11">
        <f>IF(C44/D44-1&lt;0,0,C44/D44-1)</f>
        <v>0.448739508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