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8olciUdfJN3R7tW+mmI0CGVLykibsqCB3sOwjD7j4Y8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<sst xmlns="http://schemas.openxmlformats.org/spreadsheetml/2006/main" count="118" uniqueCount="41">
  <si>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</si>
  <si>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Porsche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</si>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</sst>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Alignment="1" applyBorder="1" applyFont="1" applyNumberFormat="1">
      <alignment readingOrder="0"/>
    </xf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8" fillId="0" fontId="3" numFmtId="2" xfId="0" applyBorder="1" applyFont="1" applyNumberForma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28.518</v>
      </c>
      <c r="D10" s="7">
        <v>28.695</v>
      </c>
      <c r="E10" s="7">
        <v>33.138</v>
      </c>
      <c r="F10" s="7">
        <v>37.63</v>
      </c>
      <c r="G10" s="7">
        <v>40.26312</v>
      </c>
      <c r="H10" s="8">
        <v>40.58545</v>
      </c>
      <c r="I10" s="8">
        <v>43.70241</v>
      </c>
      <c r="J10" s="8">
        <v>44.77995</v>
      </c>
      <c r="K10" s="8">
        <f t="shared" ref="K10:R10" si="2">J10*(1+K11)</f>
        <v>47.69064675</v>
      </c>
      <c r="L10" s="8">
        <f t="shared" si="2"/>
        <v>52.22125819</v>
      </c>
      <c r="M10" s="8">
        <f t="shared" si="2"/>
        <v>56.92117143</v>
      </c>
      <c r="N10" s="8">
        <f t="shared" si="2"/>
        <v>60.90565343</v>
      </c>
      <c r="O10" s="8">
        <f t="shared" si="2"/>
        <v>64.8645209</v>
      </c>
      <c r="P10" s="8">
        <f t="shared" si="2"/>
        <v>68.43206955</v>
      </c>
      <c r="Q10" s="8">
        <f t="shared" si="2"/>
        <v>71.85367303</v>
      </c>
      <c r="R10" s="8">
        <f t="shared" si="2"/>
        <v>73.29074649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0.006206606354</v>
      </c>
      <c r="E11" s="10">
        <f t="shared" si="3"/>
        <v>0.1548353372</v>
      </c>
      <c r="F11" s="10">
        <f t="shared" si="3"/>
        <v>0.1355543485</v>
      </c>
      <c r="G11" s="10">
        <f t="shared" si="3"/>
        <v>0.06997395695</v>
      </c>
      <c r="H11" s="11">
        <f t="shared" si="3"/>
        <v>0.008005589234</v>
      </c>
      <c r="I11" s="11">
        <f t="shared" si="3"/>
        <v>0.07679993692</v>
      </c>
      <c r="J11" s="11">
        <f t="shared" si="3"/>
        <v>0.02465630614</v>
      </c>
      <c r="K11" s="11">
        <v>0.065</v>
      </c>
      <c r="L11" s="11">
        <v>0.095</v>
      </c>
      <c r="M11" s="11">
        <v>0.09</v>
      </c>
      <c r="N11" s="11">
        <v>0.07</v>
      </c>
      <c r="O11" s="11">
        <v>0.065</v>
      </c>
      <c r="P11" s="11">
        <v>0.055</v>
      </c>
      <c r="Q11" s="11">
        <v>0.05</v>
      </c>
      <c r="R11" s="11">
        <v>0.02</v>
      </c>
    </row>
    <row r="12" ht="15.75" customHeight="1">
      <c r="B12" s="2" t="s">
        <v>7</v>
      </c>
      <c r="C12" s="10">
        <f t="shared" ref="C12:J12" si="4">C13/C10</f>
        <v>0.1354232415</v>
      </c>
      <c r="D12" s="10">
        <f t="shared" si="4"/>
        <v>0.1455654295</v>
      </c>
      <c r="E12" s="10">
        <f t="shared" si="4"/>
        <v>0.1603597079</v>
      </c>
      <c r="F12" s="10">
        <f t="shared" si="4"/>
        <v>0.1799096466</v>
      </c>
      <c r="G12" s="10">
        <f t="shared" si="4"/>
        <v>0</v>
      </c>
      <c r="H12" s="11">
        <f t="shared" si="4"/>
        <v>0.1747</v>
      </c>
      <c r="I12" s="11">
        <f t="shared" si="4"/>
        <v>0.18</v>
      </c>
      <c r="J12" s="11">
        <f t="shared" si="4"/>
        <v>0.1826203807</v>
      </c>
      <c r="K12" s="11">
        <v>0.1825</v>
      </c>
      <c r="L12" s="11">
        <v>0.185</v>
      </c>
      <c r="M12" s="11">
        <v>0.185</v>
      </c>
      <c r="N12" s="11">
        <v>0.19</v>
      </c>
      <c r="O12" s="11">
        <v>0.175</v>
      </c>
      <c r="P12" s="11">
        <v>0.195</v>
      </c>
      <c r="Q12" s="11">
        <v>0.195</v>
      </c>
      <c r="R12" s="11">
        <v>0.2</v>
      </c>
    </row>
    <row r="13" ht="15.75" customHeight="1">
      <c r="B13" s="2" t="s">
        <v>8</v>
      </c>
      <c r="C13" s="7">
        <v>3.862</v>
      </c>
      <c r="D13" s="7">
        <v>4.177</v>
      </c>
      <c r="E13" s="7">
        <v>5.314</v>
      </c>
      <c r="F13" s="7">
        <v>6.77</v>
      </c>
      <c r="G13" s="7"/>
      <c r="H13" s="8">
        <v>7.090278115</v>
      </c>
      <c r="I13" s="8">
        <v>7.866433799999999</v>
      </c>
      <c r="J13" s="8">
        <v>8.177731518477044</v>
      </c>
      <c r="K13" s="8">
        <f t="shared" ref="K13:R13" si="5">K10*K12</f>
        <v>8.703543032</v>
      </c>
      <c r="L13" s="8">
        <f t="shared" si="5"/>
        <v>9.660932765</v>
      </c>
      <c r="M13" s="8">
        <f t="shared" si="5"/>
        <v>10.53041671</v>
      </c>
      <c r="N13" s="8">
        <f t="shared" si="5"/>
        <v>11.57207415</v>
      </c>
      <c r="O13" s="8">
        <f t="shared" si="5"/>
        <v>11.35129116</v>
      </c>
      <c r="P13" s="8">
        <f t="shared" si="5"/>
        <v>13.34425356</v>
      </c>
      <c r="Q13" s="8">
        <f t="shared" si="5"/>
        <v>14.01146624</v>
      </c>
      <c r="R13" s="8">
        <f t="shared" si="5"/>
        <v>14.6581493</v>
      </c>
    </row>
    <row r="14" ht="15.75" customHeight="1">
      <c r="A14" s="11">
        <v>0.25</v>
      </c>
      <c r="B14" s="2" t="s">
        <v>9</v>
      </c>
      <c r="C14" s="7">
        <v>2.796</v>
      </c>
      <c r="D14" s="7">
        <v>3.162</v>
      </c>
      <c r="E14" s="7">
        <v>4.032</v>
      </c>
      <c r="F14" s="7">
        <v>4.95</v>
      </c>
      <c r="G14" s="7"/>
      <c r="H14" s="8">
        <v>5.089415430000001</v>
      </c>
      <c r="I14" s="8">
        <v>5.646351372000001</v>
      </c>
      <c r="J14" s="8">
        <v>5.84826147</v>
      </c>
      <c r="K14" s="8">
        <f t="shared" ref="K14:R14" si="6">K13*(1-$A$14)</f>
        <v>6.527657274</v>
      </c>
      <c r="L14" s="8">
        <f t="shared" si="6"/>
        <v>7.245699574</v>
      </c>
      <c r="M14" s="8">
        <f t="shared" si="6"/>
        <v>7.897812536</v>
      </c>
      <c r="N14" s="8">
        <f t="shared" si="6"/>
        <v>8.679055614</v>
      </c>
      <c r="O14" s="8">
        <f t="shared" si="6"/>
        <v>8.513468368</v>
      </c>
      <c r="P14" s="8">
        <f t="shared" si="6"/>
        <v>10.00819017</v>
      </c>
      <c r="Q14" s="8">
        <f t="shared" si="6"/>
        <v>10.50859968</v>
      </c>
      <c r="R14" s="8">
        <f t="shared" si="6"/>
        <v>10.99361197</v>
      </c>
    </row>
    <row r="15" ht="15.75" customHeight="1">
      <c r="A15" s="11">
        <v>1.0</v>
      </c>
      <c r="B15" s="2" t="s">
        <v>10</v>
      </c>
      <c r="H15" s="8">
        <f>C33</f>
        <v>0.911</v>
      </c>
      <c r="I15" s="8">
        <f t="shared" ref="I15:Q15" si="7">H15*$A$15</f>
        <v>0.911</v>
      </c>
      <c r="J15" s="8">
        <f t="shared" si="7"/>
        <v>0.911</v>
      </c>
      <c r="K15" s="8">
        <f t="shared" si="7"/>
        <v>0.911</v>
      </c>
      <c r="L15" s="8">
        <f t="shared" si="7"/>
        <v>0.911</v>
      </c>
      <c r="M15" s="8">
        <f t="shared" si="7"/>
        <v>0.911</v>
      </c>
      <c r="N15" s="8">
        <f t="shared" si="7"/>
        <v>0.911</v>
      </c>
      <c r="O15" s="8">
        <f t="shared" si="7"/>
        <v>0.911</v>
      </c>
      <c r="P15" s="8">
        <f t="shared" si="7"/>
        <v>0.911</v>
      </c>
      <c r="Q15" s="8">
        <f t="shared" si="7"/>
        <v>0.911</v>
      </c>
      <c r="R15" s="6" t="s">
        <v>6</v>
      </c>
    </row>
    <row r="16" ht="15.75" customHeight="1">
      <c r="B16" s="2" t="s">
        <v>11</v>
      </c>
      <c r="H16" s="8">
        <f t="shared" ref="H16:Q16" si="8">H14/H15</f>
        <v>5.58662506</v>
      </c>
      <c r="I16" s="8">
        <f t="shared" si="8"/>
        <v>6.197970771</v>
      </c>
      <c r="J16" s="8">
        <f t="shared" si="8"/>
        <v>6.419606443</v>
      </c>
      <c r="K16" s="8">
        <f t="shared" si="8"/>
        <v>7.165375712</v>
      </c>
      <c r="L16" s="8">
        <f t="shared" si="8"/>
        <v>7.953567041</v>
      </c>
      <c r="M16" s="8">
        <f t="shared" si="8"/>
        <v>8.669388074</v>
      </c>
      <c r="N16" s="8">
        <f t="shared" si="8"/>
        <v>9.52695457</v>
      </c>
      <c r="O16" s="8">
        <f t="shared" si="8"/>
        <v>9.345190305</v>
      </c>
      <c r="P16" s="8">
        <f t="shared" si="8"/>
        <v>10.98593872</v>
      </c>
      <c r="Q16" s="8">
        <f t="shared" si="8"/>
        <v>11.53523565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4.813982461</v>
      </c>
      <c r="I17" s="14">
        <f>I14/(1+$B$29)^2</f>
        <v>5.051741317</v>
      </c>
      <c r="J17" s="14">
        <f>J14/(1+$B$29)^3</f>
        <v>4.949218022</v>
      </c>
      <c r="K17" s="14">
        <f>K14/(1+$B$29)^4</f>
        <v>5.22521001</v>
      </c>
      <c r="L17" s="14">
        <f>L14/(1+$B$29)^5</f>
        <v>5.486095084</v>
      </c>
      <c r="M17" s="14">
        <f>M14/(1+$B$29)^6</f>
        <v>5.656221781</v>
      </c>
      <c r="N17" s="14">
        <f>N14/(1+$B$29)^7</f>
        <v>5.879341429</v>
      </c>
      <c r="O17" s="14">
        <f>O14/(1+$B$29)^8</f>
        <v>5.455057573</v>
      </c>
      <c r="P17" s="14">
        <f>P14/(1+$B$29)^9</f>
        <v>6.065756361</v>
      </c>
      <c r="Q17" s="14">
        <f>Q14/(1+$B$29)^10</f>
        <v>6.024359259</v>
      </c>
      <c r="R17" s="15">
        <f>(R14/(B29-R11))/(1+B29)^10</f>
        <v>169.3503356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0.02434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0.0328752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0.72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0.0572152</v>
      </c>
    </row>
    <row r="30" ht="15.75" customHeight="1"/>
    <row r="31" ht="15.75" customHeight="1">
      <c r="A31" s="3"/>
      <c r="B31" s="3"/>
      <c r="C31" s="24">
        <v>45366.0</v>
      </c>
      <c r="D31" s="25" t="s">
        <v>19</v>
      </c>
    </row>
    <row r="32" ht="15.75" customHeight="1">
      <c r="A32" s="5" t="s">
        <v>20</v>
      </c>
      <c r="B32" s="5" t="s">
        <v>21</v>
      </c>
      <c r="C32" s="26">
        <v>88.36</v>
      </c>
      <c r="D32" s="8">
        <f>SUM(H17:R17)</f>
        <v>223.9573189</v>
      </c>
    </row>
    <row r="33" ht="15.75" customHeight="1">
      <c r="A33" s="5"/>
      <c r="B33" s="5" t="s">
        <v>22</v>
      </c>
      <c r="C33" s="8">
        <v>0.911</v>
      </c>
      <c r="D33" s="8">
        <f>C33</f>
        <v>0.911</v>
      </c>
    </row>
    <row r="34" ht="15.75" customHeight="1">
      <c r="A34" s="5"/>
      <c r="B34" s="5" t="s">
        <v>23</v>
      </c>
      <c r="C34" s="26">
        <v>88.36</v>
      </c>
      <c r="D34" s="8">
        <f>D32/D33</f>
        <v>245.8367935</v>
      </c>
    </row>
    <row r="35" ht="15.75" customHeight="1">
      <c r="A35" s="5"/>
      <c r="B35" s="5" t="s">
        <v>24</v>
      </c>
      <c r="C35" s="5"/>
      <c r="D35" s="11">
        <f>IF(C34/D34-1&gt;0,0,C34/D34-1)*-1</f>
        <v>0.6405745506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31">
        <v>18.0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31">
        <f>Q16*D40</f>
        <v>207.6342418</v>
      </c>
    </row>
    <row r="43" ht="15.75" customHeight="1">
      <c r="A43" s="30"/>
      <c r="D43" s="18"/>
    </row>
    <row r="44" ht="15.75" customHeight="1">
      <c r="A44" s="30" t="s">
        <v>27</v>
      </c>
      <c r="D44" s="20">
        <v>0.6</v>
      </c>
    </row>
    <row r="45" ht="15.75" customHeight="1">
      <c r="A45" s="30"/>
      <c r="D45" s="18"/>
    </row>
    <row r="46" ht="15.75" customHeight="1">
      <c r="A46" s="30" t="s">
        <v>28</v>
      </c>
      <c r="D46" s="31">
        <f>D44*SUM(H16:Q16)</f>
        <v>50.03151141</v>
      </c>
    </row>
    <row r="47" ht="15.75" customHeight="1">
      <c r="A47" s="30"/>
      <c r="D47" s="18"/>
    </row>
    <row r="48" ht="15.75" customHeight="1">
      <c r="A48" s="30" t="s">
        <v>29</v>
      </c>
      <c r="D48" s="20">
        <v>0.0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31">
        <f>D42+D46*(1-D48)</f>
        <v>257.6657532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1.916090461</v>
      </c>
    </row>
    <row r="53" ht="15.75" customHeight="1">
      <c r="A53" s="30"/>
      <c r="D53" s="18"/>
    </row>
    <row r="54" ht="15.75" customHeight="1">
      <c r="A54" s="32" t="str">
        <f>"Renditeerwartung bis "&amp;Q9&amp;" pro Jahr"</f>
        <v>Renditeerwartung bis 2033 pro Jahr</v>
      </c>
      <c r="B54" s="33"/>
      <c r="C54" s="33"/>
      <c r="D54" s="34">
        <f>(D50/C34)^(1/10)-1</f>
        <v>0.1129613922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Porsche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28.518</v>
      </c>
      <c r="D10" s="7">
        <f>Optimistisch!D10</f>
        <v>28.695</v>
      </c>
      <c r="E10" s="7">
        <f>Optimistisch!E10</f>
        <v>33.138</v>
      </c>
      <c r="F10" s="7">
        <f>Optimistisch!F10</f>
        <v>37.63</v>
      </c>
      <c r="G10" s="7">
        <f>Optimistisch!G10</f>
        <v>40.26312</v>
      </c>
      <c r="H10" s="8">
        <f>Optimistisch!H10</f>
        <v>40.58545</v>
      </c>
      <c r="I10" s="8">
        <f>Optimistisch!I10</f>
        <v>43.70241</v>
      </c>
      <c r="J10" s="8">
        <f>Optimistisch!J10</f>
        <v>44.77995</v>
      </c>
      <c r="K10" s="8">
        <f t="shared" ref="K10:R10" si="2">J10*(1+K11)</f>
        <v>47.69064675</v>
      </c>
      <c r="L10" s="8">
        <f t="shared" si="2"/>
        <v>49.83672585</v>
      </c>
      <c r="M10" s="8">
        <f t="shared" si="2"/>
        <v>51.082644</v>
      </c>
      <c r="N10" s="8">
        <f t="shared" si="2"/>
        <v>51.33805722</v>
      </c>
      <c r="O10" s="8">
        <f t="shared" si="2"/>
        <v>53.64826979</v>
      </c>
      <c r="P10" s="8">
        <f t="shared" si="2"/>
        <v>55.25771789</v>
      </c>
      <c r="Q10" s="8">
        <f t="shared" si="2"/>
        <v>56.08658366</v>
      </c>
      <c r="R10" s="8">
        <f t="shared" si="2"/>
        <v>56.64744949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0.006206606354</v>
      </c>
      <c r="E11" s="10">
        <f t="shared" si="3"/>
        <v>0.1548353372</v>
      </c>
      <c r="F11" s="10">
        <f t="shared" si="3"/>
        <v>0.1355543485</v>
      </c>
      <c r="G11" s="10">
        <f t="shared" si="3"/>
        <v>0.06997395695</v>
      </c>
      <c r="H11" s="11">
        <f t="shared" si="3"/>
        <v>0.008005589234</v>
      </c>
      <c r="I11" s="11">
        <f t="shared" si="3"/>
        <v>0.07679993692</v>
      </c>
      <c r="J11" s="11">
        <f t="shared" si="3"/>
        <v>0.02465630614</v>
      </c>
      <c r="K11" s="11">
        <v>0.065</v>
      </c>
      <c r="L11" s="11">
        <v>0.045</v>
      </c>
      <c r="M11" s="11">
        <v>0.025</v>
      </c>
      <c r="N11" s="11">
        <v>0.005</v>
      </c>
      <c r="O11" s="11">
        <v>0.045</v>
      </c>
      <c r="P11" s="11">
        <v>0.03</v>
      </c>
      <c r="Q11" s="11">
        <v>0.015</v>
      </c>
      <c r="R11" s="11">
        <v>0.01</v>
      </c>
    </row>
    <row r="12" ht="15.75" customHeight="1">
      <c r="B12" s="2" t="s">
        <v>7</v>
      </c>
      <c r="C12" s="10">
        <f t="shared" ref="C12:J12" si="4">C13/C10</f>
        <v>0.1354232415</v>
      </c>
      <c r="D12" s="10">
        <f t="shared" si="4"/>
        <v>0.1455654295</v>
      </c>
      <c r="E12" s="10">
        <f t="shared" si="4"/>
        <v>0.1603597079</v>
      </c>
      <c r="F12" s="10">
        <f t="shared" si="4"/>
        <v>0.1799096466</v>
      </c>
      <c r="G12" s="10">
        <f t="shared" si="4"/>
        <v>0</v>
      </c>
      <c r="H12" s="11">
        <f t="shared" si="4"/>
        <v>0.1747</v>
      </c>
      <c r="I12" s="11">
        <f t="shared" si="4"/>
        <v>0.18</v>
      </c>
      <c r="J12" s="11">
        <f t="shared" si="4"/>
        <v>0.1826203807</v>
      </c>
      <c r="K12" s="11">
        <v>0.125</v>
      </c>
      <c r="L12" s="11">
        <v>0.175</v>
      </c>
      <c r="M12" s="11">
        <v>0.17</v>
      </c>
      <c r="N12" s="11">
        <v>0.12</v>
      </c>
      <c r="O12" s="11">
        <v>0.16</v>
      </c>
      <c r="P12" s="11">
        <v>0.15</v>
      </c>
      <c r="Q12" s="11">
        <v>0.145</v>
      </c>
      <c r="R12" s="11">
        <v>0.14</v>
      </c>
    </row>
    <row r="13" ht="15.75" customHeight="1">
      <c r="B13" s="2" t="s">
        <v>8</v>
      </c>
      <c r="C13" s="7">
        <f>Optimistisch!C13</f>
        <v>3.862</v>
      </c>
      <c r="D13" s="7">
        <f>Optimistisch!D13</f>
        <v>4.177</v>
      </c>
      <c r="E13" s="7">
        <f>Optimistisch!E13</f>
        <v>5.314</v>
      </c>
      <c r="F13" s="7">
        <f>Optimistisch!F13</f>
        <v>6.77</v>
      </c>
      <c r="G13" s="7" t="str">
        <f>Optimistisch!G13</f>
        <v/>
      </c>
      <c r="H13" s="8">
        <f>Optimistisch!H13</f>
        <v>7.090278115</v>
      </c>
      <c r="I13" s="8">
        <f>Optimistisch!I13</f>
        <v>7.8664338</v>
      </c>
      <c r="J13" s="8">
        <f>Optimistisch!J13</f>
        <v>8.177731518</v>
      </c>
      <c r="K13" s="8">
        <f t="shared" ref="K13:R13" si="5">K10*K12</f>
        <v>5.961330844</v>
      </c>
      <c r="L13" s="8">
        <f t="shared" si="5"/>
        <v>8.721427024</v>
      </c>
      <c r="M13" s="8">
        <f t="shared" si="5"/>
        <v>8.68404948</v>
      </c>
      <c r="N13" s="8">
        <f t="shared" si="5"/>
        <v>6.160566866</v>
      </c>
      <c r="O13" s="8">
        <f t="shared" si="5"/>
        <v>8.583723167</v>
      </c>
      <c r="P13" s="8">
        <f t="shared" si="5"/>
        <v>8.288657683</v>
      </c>
      <c r="Q13" s="8">
        <f t="shared" si="5"/>
        <v>8.13255463</v>
      </c>
      <c r="R13" s="8">
        <f t="shared" si="5"/>
        <v>7.930642929</v>
      </c>
    </row>
    <row r="14" ht="15.75" customHeight="1">
      <c r="A14" s="11">
        <v>0.3</v>
      </c>
      <c r="B14" s="2" t="s">
        <v>9</v>
      </c>
      <c r="C14" s="7">
        <f>Optimistisch!C14</f>
        <v>2.796</v>
      </c>
      <c r="D14" s="7">
        <f>Optimistisch!D14</f>
        <v>3.162</v>
      </c>
      <c r="E14" s="7">
        <f>Optimistisch!E14</f>
        <v>4.032</v>
      </c>
      <c r="F14" s="7">
        <f>Optimistisch!F14</f>
        <v>4.95</v>
      </c>
      <c r="G14" s="7" t="str">
        <f>Optimistisch!G14</f>
        <v/>
      </c>
      <c r="H14" s="8">
        <f>Optimistisch!H14</f>
        <v>5.08941543</v>
      </c>
      <c r="I14" s="8">
        <f>Optimistisch!I14</f>
        <v>5.646351372</v>
      </c>
      <c r="J14" s="8">
        <f>Optimistisch!J14</f>
        <v>5.84826147</v>
      </c>
      <c r="K14" s="8">
        <f t="shared" ref="K14:R14" si="6">K13*(1-$A$14)</f>
        <v>4.172931591</v>
      </c>
      <c r="L14" s="8">
        <f t="shared" si="6"/>
        <v>6.104998917</v>
      </c>
      <c r="M14" s="8">
        <f t="shared" si="6"/>
        <v>6.078834636</v>
      </c>
      <c r="N14" s="8">
        <f t="shared" si="6"/>
        <v>4.312396806</v>
      </c>
      <c r="O14" s="8">
        <f t="shared" si="6"/>
        <v>6.008606217</v>
      </c>
      <c r="P14" s="8">
        <f t="shared" si="6"/>
        <v>5.802060378</v>
      </c>
      <c r="Q14" s="8">
        <f t="shared" si="6"/>
        <v>5.692788241</v>
      </c>
      <c r="R14" s="8">
        <f t="shared" si="6"/>
        <v>5.55145005</v>
      </c>
    </row>
    <row r="15" ht="15.75" customHeight="1">
      <c r="A15" s="11">
        <v>1.0</v>
      </c>
      <c r="B15" s="2" t="s">
        <v>10</v>
      </c>
      <c r="H15" s="8">
        <f>C33</f>
        <v>0.911</v>
      </c>
      <c r="I15" s="8">
        <f t="shared" ref="I15:Q15" si="7">H15*$A$15</f>
        <v>0.911</v>
      </c>
      <c r="J15" s="8">
        <f t="shared" si="7"/>
        <v>0.911</v>
      </c>
      <c r="K15" s="8">
        <f t="shared" si="7"/>
        <v>0.911</v>
      </c>
      <c r="L15" s="8">
        <f t="shared" si="7"/>
        <v>0.911</v>
      </c>
      <c r="M15" s="8">
        <f t="shared" si="7"/>
        <v>0.911</v>
      </c>
      <c r="N15" s="8">
        <f t="shared" si="7"/>
        <v>0.911</v>
      </c>
      <c r="O15" s="8">
        <f t="shared" si="7"/>
        <v>0.911</v>
      </c>
      <c r="P15" s="8">
        <f t="shared" si="7"/>
        <v>0.911</v>
      </c>
      <c r="Q15" s="8">
        <f t="shared" si="7"/>
        <v>0.911</v>
      </c>
      <c r="R15" s="6" t="s">
        <v>6</v>
      </c>
    </row>
    <row r="16" ht="15.75" customHeight="1">
      <c r="B16" s="2" t="s">
        <v>11</v>
      </c>
      <c r="H16" s="8">
        <f t="shared" ref="H16:Q16" si="8">H14/H15</f>
        <v>5.58662506</v>
      </c>
      <c r="I16" s="8">
        <f t="shared" si="8"/>
        <v>6.197970771</v>
      </c>
      <c r="J16" s="8">
        <f t="shared" si="8"/>
        <v>6.419606443</v>
      </c>
      <c r="K16" s="8">
        <f t="shared" si="8"/>
        <v>4.580605478</v>
      </c>
      <c r="L16" s="8">
        <f t="shared" si="8"/>
        <v>6.701425815</v>
      </c>
      <c r="M16" s="8">
        <f t="shared" si="8"/>
        <v>6.672705418</v>
      </c>
      <c r="N16" s="8">
        <f t="shared" si="8"/>
        <v>4.733695726</v>
      </c>
      <c r="O16" s="8">
        <f t="shared" si="8"/>
        <v>6.595616045</v>
      </c>
      <c r="P16" s="8">
        <f t="shared" si="8"/>
        <v>6.368891744</v>
      </c>
      <c r="Q16" s="8">
        <f t="shared" si="8"/>
        <v>6.248944282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4.813982461</v>
      </c>
      <c r="I17" s="14">
        <f>I14/(1+$B$29)^2</f>
        <v>5.051741317</v>
      </c>
      <c r="J17" s="14">
        <f>J14/(1+$B$29)^3</f>
        <v>4.949218022</v>
      </c>
      <c r="K17" s="14">
        <f>K14/(1+$B$29)^4</f>
        <v>3.340316901</v>
      </c>
      <c r="L17" s="14">
        <f>L14/(1+$B$29)^5</f>
        <v>4.622411432</v>
      </c>
      <c r="M17" s="14">
        <f>M14/(1+$B$29)^6</f>
        <v>4.353513927</v>
      </c>
      <c r="N17" s="14">
        <f>N14/(1+$B$29)^7</f>
        <v>2.921291709</v>
      </c>
      <c r="O17" s="14">
        <f>O14/(1+$B$29)^8</f>
        <v>3.850051639</v>
      </c>
      <c r="P17" s="14">
        <f>P14/(1+$B$29)^9</f>
        <v>3.516508384</v>
      </c>
      <c r="Q17" s="14">
        <f>Q14/(1+$B$29)^10</f>
        <v>3.263555811</v>
      </c>
      <c r="R17" s="15">
        <f>(R14/(B29-R11))/(1+B29)^10</f>
        <v>67.40476791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0.02434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0.0328752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31">
        <f>Optimistisch!B27</f>
        <v>0.72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0.0572152</v>
      </c>
    </row>
    <row r="30" ht="15.75" customHeight="1"/>
    <row r="31" ht="15.75" customHeight="1">
      <c r="A31" s="3"/>
      <c r="B31" s="3"/>
      <c r="C31" s="24">
        <f>Optimistisch!C31</f>
        <v>45366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80.49596</v>
      </c>
      <c r="D32" s="8">
        <f>SUM(H17:R17)</f>
        <v>108.0873595</v>
      </c>
    </row>
    <row r="33" ht="15.75" customHeight="1">
      <c r="A33" s="5"/>
      <c r="B33" s="5" t="s">
        <v>22</v>
      </c>
      <c r="C33" s="8">
        <f>Optimistisch!C33</f>
        <v>0.911</v>
      </c>
      <c r="D33" s="8">
        <f>C33</f>
        <v>0.911</v>
      </c>
    </row>
    <row r="34" ht="15.75" customHeight="1">
      <c r="A34" s="5"/>
      <c r="B34" s="5" t="s">
        <v>23</v>
      </c>
      <c r="C34" s="8">
        <f>Optimistisch!C34</f>
        <v>88.36</v>
      </c>
      <c r="D34" s="8">
        <f>D32/D33</f>
        <v>118.6469369</v>
      </c>
    </row>
    <row r="35" ht="15.75" customHeight="1">
      <c r="A35" s="5"/>
      <c r="B35" s="5" t="s">
        <v>24</v>
      </c>
      <c r="C35" s="5"/>
      <c r="D35" s="11">
        <f>IF(C34/D34-1&gt;0,0,C34/D34-1)*-1</f>
        <v>0.2552694379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31">
        <v>14.0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31">
        <f>Q16*D40</f>
        <v>87.48521995</v>
      </c>
    </row>
    <row r="43" ht="15.75" customHeight="1">
      <c r="A43" s="30"/>
      <c r="D43" s="18"/>
    </row>
    <row r="44" ht="15.75" customHeight="1">
      <c r="A44" s="30" t="s">
        <v>27</v>
      </c>
      <c r="D44" s="20">
        <v>0.4</v>
      </c>
    </row>
    <row r="45" ht="15.75" customHeight="1">
      <c r="A45" s="30"/>
      <c r="D45" s="18"/>
    </row>
    <row r="46" ht="15.75" customHeight="1">
      <c r="A46" s="30" t="s">
        <v>28</v>
      </c>
      <c r="D46" s="31">
        <f>D44*SUM(H16:Q16)</f>
        <v>24.04243471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31">
        <f>D42+D46*(1-D48)</f>
        <v>111.5276547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0.2621961823</v>
      </c>
    </row>
    <row r="53" ht="15.75" customHeight="1">
      <c r="A53" s="30"/>
      <c r="D53" s="18"/>
    </row>
    <row r="54" ht="15.75" customHeight="1">
      <c r="A54" s="32" t="str">
        <f>"Renditeerwartung bis "&amp;Q9&amp;" pro Jahr"</f>
        <v>Renditeerwartung bis 2033 pro Jahr</v>
      </c>
      <c r="B54" s="33"/>
      <c r="C54" s="33"/>
      <c r="D54" s="34">
        <f>(D50/C34)^(1/10)-1</f>
        <v>0.02355854017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Porsche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28.518</v>
      </c>
      <c r="D10" s="7">
        <f>Optimistisch!D10</f>
        <v>28.695</v>
      </c>
      <c r="E10" s="7">
        <f>Optimistisch!E10</f>
        <v>33.138</v>
      </c>
      <c r="F10" s="7">
        <f>Optimistisch!F10</f>
        <v>37.63</v>
      </c>
      <c r="G10" s="7">
        <f>Optimistisch!G10</f>
        <v>40.26312</v>
      </c>
      <c r="H10" s="8">
        <f t="shared" ref="H10:R10" si="2">G10*(1+H11)</f>
        <v>39.59877852</v>
      </c>
      <c r="I10" s="8">
        <f t="shared" si="2"/>
        <v>38.94539867</v>
      </c>
      <c r="J10" s="8">
        <f t="shared" si="2"/>
        <v>38.3027996</v>
      </c>
      <c r="K10" s="8">
        <f t="shared" si="2"/>
        <v>37.6708034</v>
      </c>
      <c r="L10" s="8">
        <f t="shared" si="2"/>
        <v>37.04923515</v>
      </c>
      <c r="M10" s="8">
        <f t="shared" si="2"/>
        <v>36.43792277</v>
      </c>
      <c r="N10" s="8">
        <f t="shared" si="2"/>
        <v>35.83669704</v>
      </c>
      <c r="O10" s="8">
        <f t="shared" si="2"/>
        <v>35.24539154</v>
      </c>
      <c r="P10" s="8">
        <f t="shared" si="2"/>
        <v>34.66384258</v>
      </c>
      <c r="Q10" s="8">
        <f t="shared" si="2"/>
        <v>34.09188918</v>
      </c>
      <c r="R10" s="8">
        <f t="shared" si="2"/>
        <v>33.52937301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0.006206606354</v>
      </c>
      <c r="E11" s="10">
        <f t="shared" si="3"/>
        <v>0.1548353372</v>
      </c>
      <c r="F11" s="10">
        <f t="shared" si="3"/>
        <v>0.1355543485</v>
      </c>
      <c r="G11" s="10">
        <f t="shared" si="3"/>
        <v>0.06997395695</v>
      </c>
      <c r="H11" s="11">
        <v>-0.0165</v>
      </c>
      <c r="I11" s="11">
        <f t="shared" ref="I11:Q11" si="4">$H$11</f>
        <v>-0.0165</v>
      </c>
      <c r="J11" s="11">
        <f t="shared" si="4"/>
        <v>-0.0165</v>
      </c>
      <c r="K11" s="11">
        <f t="shared" si="4"/>
        <v>-0.0165</v>
      </c>
      <c r="L11" s="11">
        <f t="shared" si="4"/>
        <v>-0.0165</v>
      </c>
      <c r="M11" s="11">
        <f t="shared" si="4"/>
        <v>-0.0165</v>
      </c>
      <c r="N11" s="11">
        <f t="shared" si="4"/>
        <v>-0.0165</v>
      </c>
      <c r="O11" s="11">
        <f t="shared" si="4"/>
        <v>-0.0165</v>
      </c>
      <c r="P11" s="11">
        <f t="shared" si="4"/>
        <v>-0.0165</v>
      </c>
      <c r="Q11" s="11">
        <f t="shared" si="4"/>
        <v>-0.0165</v>
      </c>
      <c r="R11" s="11">
        <v>-0.0165</v>
      </c>
    </row>
    <row r="12" ht="15.75" customHeight="1">
      <c r="B12" s="2" t="s">
        <v>7</v>
      </c>
      <c r="C12" s="10">
        <f t="shared" ref="C12:G12" si="5">C13/C10</f>
        <v>0.1354232415</v>
      </c>
      <c r="D12" s="10">
        <f t="shared" si="5"/>
        <v>0.1455654295</v>
      </c>
      <c r="E12" s="10">
        <f t="shared" si="5"/>
        <v>0.1603597079</v>
      </c>
      <c r="F12" s="10">
        <f t="shared" si="5"/>
        <v>0.1799096466</v>
      </c>
      <c r="G12" s="10">
        <f t="shared" si="5"/>
        <v>0</v>
      </c>
      <c r="H12" s="11">
        <f>Optimistisch!H12</f>
        <v>0.1747</v>
      </c>
      <c r="I12" s="11">
        <f>Optimistisch!I12</f>
        <v>0.18</v>
      </c>
      <c r="J12" s="11">
        <f>Optimistisch!J12</f>
        <v>0.1826203807</v>
      </c>
      <c r="K12" s="11">
        <f>Optimistisch!K12</f>
        <v>0.1825</v>
      </c>
      <c r="L12" s="11">
        <f>Optimistisch!L12</f>
        <v>0.185</v>
      </c>
      <c r="M12" s="11">
        <f>Optimistisch!M12</f>
        <v>0.185</v>
      </c>
      <c r="N12" s="11">
        <f>Optimistisch!N12</f>
        <v>0.19</v>
      </c>
      <c r="O12" s="11">
        <f>Optimistisch!O12</f>
        <v>0.175</v>
      </c>
      <c r="P12" s="11">
        <f>Optimistisch!P12</f>
        <v>0.195</v>
      </c>
      <c r="Q12" s="11">
        <f>Optimistisch!Q12</f>
        <v>0.195</v>
      </c>
      <c r="R12" s="11">
        <f>Optimistisch!R12</f>
        <v>0.2</v>
      </c>
    </row>
    <row r="13" ht="15.75" customHeight="1">
      <c r="B13" s="2" t="s">
        <v>8</v>
      </c>
      <c r="C13" s="7">
        <f>Optimistisch!C13</f>
        <v>3.862</v>
      </c>
      <c r="D13" s="7">
        <f>Optimistisch!D13</f>
        <v>4.177</v>
      </c>
      <c r="E13" s="7">
        <f>Optimistisch!E13</f>
        <v>5.314</v>
      </c>
      <c r="F13" s="7">
        <f>Optimistisch!F13</f>
        <v>6.77</v>
      </c>
      <c r="G13" s="7" t="str">
        <f>Optimistisch!G13</f>
        <v/>
      </c>
      <c r="H13" s="8">
        <f t="shared" ref="H13:R13" si="6">H10*H12</f>
        <v>6.917906607</v>
      </c>
      <c r="I13" s="8">
        <f t="shared" si="6"/>
        <v>7.010171761</v>
      </c>
      <c r="J13" s="8">
        <f t="shared" si="6"/>
        <v>6.994871846</v>
      </c>
      <c r="K13" s="8">
        <f t="shared" si="6"/>
        <v>6.874921621</v>
      </c>
      <c r="L13" s="8">
        <f t="shared" si="6"/>
        <v>6.854108502</v>
      </c>
      <c r="M13" s="8">
        <f t="shared" si="6"/>
        <v>6.741015712</v>
      </c>
      <c r="N13" s="8">
        <f t="shared" si="6"/>
        <v>6.808972438</v>
      </c>
      <c r="O13" s="8">
        <f t="shared" si="6"/>
        <v>6.16794352</v>
      </c>
      <c r="P13" s="8">
        <f t="shared" si="6"/>
        <v>6.759449303</v>
      </c>
      <c r="Q13" s="8">
        <f t="shared" si="6"/>
        <v>6.64791839</v>
      </c>
      <c r="R13" s="8">
        <f t="shared" si="6"/>
        <v>6.705874601</v>
      </c>
    </row>
    <row r="14" ht="15.75" customHeight="1">
      <c r="A14" s="11">
        <f>Optimistisch!A14</f>
        <v>0.25</v>
      </c>
      <c r="B14" s="2" t="s">
        <v>9</v>
      </c>
      <c r="C14" s="7">
        <f>Optimistisch!C14</f>
        <v>2.796</v>
      </c>
      <c r="D14" s="7">
        <f>Optimistisch!D14</f>
        <v>3.162</v>
      </c>
      <c r="E14" s="7">
        <f>Optimistisch!E14</f>
        <v>4.032</v>
      </c>
      <c r="F14" s="7">
        <f>Optimistisch!F14</f>
        <v>4.95</v>
      </c>
      <c r="G14" s="7" t="str">
        <f>Optimistisch!G14</f>
        <v/>
      </c>
      <c r="H14" s="8">
        <f t="shared" ref="H14:R14" si="7">H13*(1-$A$14)</f>
        <v>5.188429956</v>
      </c>
      <c r="I14" s="8">
        <f t="shared" si="7"/>
        <v>5.257628821</v>
      </c>
      <c r="J14" s="8">
        <f t="shared" si="7"/>
        <v>5.246153884</v>
      </c>
      <c r="K14" s="8">
        <f t="shared" si="7"/>
        <v>5.156191216</v>
      </c>
      <c r="L14" s="8">
        <f t="shared" si="7"/>
        <v>5.140581377</v>
      </c>
      <c r="M14" s="8">
        <f t="shared" si="7"/>
        <v>5.055761784</v>
      </c>
      <c r="N14" s="8">
        <f t="shared" si="7"/>
        <v>5.106729328</v>
      </c>
      <c r="O14" s="8">
        <f t="shared" si="7"/>
        <v>4.62595764</v>
      </c>
      <c r="P14" s="8">
        <f t="shared" si="7"/>
        <v>5.069586977</v>
      </c>
      <c r="Q14" s="8">
        <f t="shared" si="7"/>
        <v>4.985938792</v>
      </c>
      <c r="R14" s="8">
        <f t="shared" si="7"/>
        <v>5.029405951</v>
      </c>
    </row>
    <row r="15" ht="15.75" customHeight="1">
      <c r="A15" s="11">
        <f>Optimistisch!A15</f>
        <v>1</v>
      </c>
      <c r="B15" s="2" t="s">
        <v>10</v>
      </c>
      <c r="H15" s="8">
        <f>C33</f>
        <v>0.911</v>
      </c>
      <c r="I15" s="8">
        <f t="shared" ref="I15:Q15" si="8">H15*$A$15</f>
        <v>0.911</v>
      </c>
      <c r="J15" s="8">
        <f t="shared" si="8"/>
        <v>0.911</v>
      </c>
      <c r="K15" s="8">
        <f t="shared" si="8"/>
        <v>0.911</v>
      </c>
      <c r="L15" s="8">
        <f t="shared" si="8"/>
        <v>0.911</v>
      </c>
      <c r="M15" s="8">
        <f t="shared" si="8"/>
        <v>0.911</v>
      </c>
      <c r="N15" s="8">
        <f t="shared" si="8"/>
        <v>0.911</v>
      </c>
      <c r="O15" s="8">
        <f t="shared" si="8"/>
        <v>0.911</v>
      </c>
      <c r="P15" s="8">
        <f t="shared" si="8"/>
        <v>0.911</v>
      </c>
      <c r="Q15" s="8">
        <f t="shared" si="8"/>
        <v>0.911</v>
      </c>
      <c r="R15" s="6" t="s">
        <v>6</v>
      </c>
    </row>
    <row r="16" ht="15.75" customHeight="1">
      <c r="B16" s="2" t="s">
        <v>11</v>
      </c>
      <c r="H16" s="8">
        <f t="shared" ref="H16:Q16" si="9">H14/H15</f>
        <v>5.695312794</v>
      </c>
      <c r="I16" s="8">
        <f t="shared" si="9"/>
        <v>5.771272032</v>
      </c>
      <c r="J16" s="8">
        <f t="shared" si="9"/>
        <v>5.758676053</v>
      </c>
      <c r="K16" s="8">
        <f t="shared" si="9"/>
        <v>5.659924496</v>
      </c>
      <c r="L16" s="8">
        <f t="shared" si="9"/>
        <v>5.642789656</v>
      </c>
      <c r="M16" s="8">
        <f t="shared" si="9"/>
        <v>5.549683627</v>
      </c>
      <c r="N16" s="8">
        <f t="shared" si="9"/>
        <v>5.605630437</v>
      </c>
      <c r="O16" s="8">
        <f t="shared" si="9"/>
        <v>5.077889835</v>
      </c>
      <c r="P16" s="8">
        <f t="shared" si="9"/>
        <v>5.56485947</v>
      </c>
      <c r="Q16" s="8">
        <f t="shared" si="9"/>
        <v>5.473039289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4.907638441</v>
      </c>
      <c r="I17" s="14">
        <f>I14/(1+$B$29)^2</f>
        <v>4.703954642</v>
      </c>
      <c r="J17" s="14">
        <f>J14/(1+$B$29)^3</f>
        <v>4.439671428</v>
      </c>
      <c r="K17" s="14">
        <f>K14/(1+$B$29)^4</f>
        <v>4.127389173</v>
      </c>
      <c r="L17" s="14">
        <f>L14/(1+$B$29)^5</f>
        <v>3.892200874</v>
      </c>
      <c r="M17" s="14">
        <f>M14/(1+$B$29)^6</f>
        <v>3.620813965</v>
      </c>
      <c r="N17" s="14">
        <f>N14/(1+$B$29)^7</f>
        <v>3.45938621</v>
      </c>
      <c r="O17" s="14">
        <f>O14/(1+$B$29)^8</f>
        <v>2.964111002</v>
      </c>
      <c r="P17" s="14">
        <f>P14/(1+$B$29)^9</f>
        <v>3.072571457</v>
      </c>
      <c r="Q17" s="14">
        <f>Q14/(1+$B$29)^10</f>
        <v>2.858333883</v>
      </c>
      <c r="R17" s="15">
        <f>(R14/(B29-R11))/(1+B29)^10</f>
        <v>39.11340797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0.02434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0.0328752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31">
        <f>Optimistisch!B27</f>
        <v>0.72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0.0572152</v>
      </c>
    </row>
    <row r="30" ht="15.75" customHeight="1"/>
    <row r="31" ht="15.75" customHeight="1">
      <c r="A31" s="3"/>
      <c r="B31" s="3"/>
      <c r="C31" s="24">
        <f>Optimistisch!C31</f>
        <v>45366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80.49596</v>
      </c>
      <c r="D32" s="8">
        <f>SUM(H17:R17)</f>
        <v>77.15947904</v>
      </c>
    </row>
    <row r="33" ht="15.75" customHeight="1">
      <c r="A33" s="5"/>
      <c r="B33" s="5" t="s">
        <v>22</v>
      </c>
      <c r="C33" s="8">
        <f>Optimistisch!C33</f>
        <v>0.911</v>
      </c>
      <c r="D33" s="8">
        <f>C33</f>
        <v>0.911</v>
      </c>
    </row>
    <row r="34" ht="15.75" customHeight="1">
      <c r="A34" s="5"/>
      <c r="B34" s="5" t="s">
        <v>23</v>
      </c>
      <c r="C34" s="8">
        <f>Optimistisch!C34</f>
        <v>88.36</v>
      </c>
      <c r="D34" s="8">
        <f>D32/D33</f>
        <v>84.69756207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0.04324136191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31">
        <v>33.0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31">
        <f>Q16*D40</f>
        <v>180.6102965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0.6</v>
      </c>
    </row>
    <row r="45" ht="15.75" customHeight="1">
      <c r="A45" s="30"/>
      <c r="D45" s="18"/>
    </row>
    <row r="46" ht="15.75" customHeight="1">
      <c r="A46" s="30" t="s">
        <v>28</v>
      </c>
      <c r="D46" s="31">
        <f>D44*SUM(H16:Q16)</f>
        <v>33.47944661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31">
        <f>D42+D46*(1-D48)</f>
        <v>214.0897431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1.42292602</v>
      </c>
    </row>
    <row r="53" ht="15.75" customHeight="1">
      <c r="A53" s="30"/>
      <c r="D53" s="18"/>
    </row>
    <row r="54" ht="15.75" customHeight="1">
      <c r="A54" s="32" t="str">
        <f>"Renditeerwartung bis "&amp;Q9&amp;" pro Jahr"</f>
        <v>Renditeerwartung bis 2033 pro Jahr</v>
      </c>
      <c r="B54" s="33"/>
      <c r="C54" s="33"/>
      <c r="D54" s="34">
        <f>(D50/C34)^(1/10)-1</f>
        <v>0.0925316206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Porsche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28.518</v>
      </c>
      <c r="D10" s="7">
        <f>Optimistisch!D10</f>
        <v>28.695</v>
      </c>
      <c r="E10" s="7">
        <f>Optimistisch!E10</f>
        <v>33.138</v>
      </c>
      <c r="F10" s="7">
        <f>Optimistisch!F10</f>
        <v>37.63</v>
      </c>
      <c r="G10" s="7">
        <f>Optimistisch!G10</f>
        <v>40.26312</v>
      </c>
      <c r="H10" s="8">
        <f>Optimistisch!H10</f>
        <v>40.58545</v>
      </c>
      <c r="I10" s="8">
        <f>Optimistisch!I10</f>
        <v>43.70241</v>
      </c>
      <c r="J10" s="8">
        <f>Optimistisch!J10</f>
        <v>44.77995</v>
      </c>
      <c r="K10" s="8">
        <f>(Optimistisch!K10+Pessimistisch!K10)/2</f>
        <v>47.69064675</v>
      </c>
      <c r="L10" s="8">
        <f>(Optimistisch!L10+Pessimistisch!L10)/2</f>
        <v>51.02899202</v>
      </c>
      <c r="M10" s="8">
        <f>(Optimistisch!M10+Pessimistisch!M10)/2</f>
        <v>54.00190771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0.08563012834</v>
      </c>
      <c r="D11" s="10">
        <f t="shared" si="2"/>
        <v>0.09036417494</v>
      </c>
      <c r="E11" s="10">
        <f t="shared" si="2"/>
        <v>0.1500995836</v>
      </c>
      <c r="F11" s="10">
        <f t="shared" si="2"/>
        <v>0.1436088227</v>
      </c>
      <c r="G11" s="10">
        <f t="shared" si="2"/>
        <v>0</v>
      </c>
      <c r="H11" s="11">
        <v>0.0844</v>
      </c>
      <c r="I11" s="11">
        <v>0.1053</v>
      </c>
      <c r="J11" s="11">
        <v>0.1053</v>
      </c>
      <c r="K11" s="11">
        <v>0.11</v>
      </c>
      <c r="L11" s="11">
        <v>0.115</v>
      </c>
      <c r="M11" s="11">
        <v>0.1075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f>4.486-2.044</f>
        <v>2.442</v>
      </c>
      <c r="D12" s="7">
        <f>4.14-1.547</f>
        <v>2.593</v>
      </c>
      <c r="E12" s="7">
        <f>6.416-1.442</f>
        <v>4.974</v>
      </c>
      <c r="F12" s="7">
        <f>7.114-1.71</f>
        <v>5.404</v>
      </c>
      <c r="G12" s="7"/>
      <c r="H12" s="8">
        <f t="shared" ref="H12:M12" si="3">H10*H11</f>
        <v>3.42541198</v>
      </c>
      <c r="I12" s="8">
        <f t="shared" si="3"/>
        <v>4.601863773</v>
      </c>
      <c r="J12" s="8">
        <f t="shared" si="3"/>
        <v>4.715328735</v>
      </c>
      <c r="K12" s="8">
        <f t="shared" si="3"/>
        <v>5.245971143</v>
      </c>
      <c r="L12" s="8">
        <f t="shared" si="3"/>
        <v>5.868334083</v>
      </c>
      <c r="M12" s="8">
        <f t="shared" si="3"/>
        <v>5.805205079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3.247068079</v>
      </c>
      <c r="I13" s="14">
        <f>I12/(1+$B$37)^2</f>
        <v>4.135146708</v>
      </c>
      <c r="J13" s="14">
        <f>J12/(1+$B$37)^3</f>
        <v>4.016499538</v>
      </c>
      <c r="K13" s="14">
        <f>K12/(1+$B$37)^4</f>
        <v>4.235846611</v>
      </c>
      <c r="L13" s="14">
        <f>L12/(1+$B$37)^5</f>
        <v>4.491668949</v>
      </c>
      <c r="M13" s="15">
        <f>(M12/(B37-B39))/(1+B37)^5</f>
        <v>80.89908463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0.02434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0.0328752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31">
        <f>Optimistisch!B27</f>
        <v>0.72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0.0572152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31">
        <f>C42</f>
        <v>80.49596</v>
      </c>
    </row>
    <row r="30" ht="15.75" customHeight="1">
      <c r="A30" s="30"/>
      <c r="B30" s="18"/>
    </row>
    <row r="31" ht="15.75" customHeight="1">
      <c r="A31" s="30" t="s">
        <v>36</v>
      </c>
      <c r="B31" s="31">
        <v>6.57</v>
      </c>
    </row>
    <row r="32" ht="15.75" customHeight="1">
      <c r="A32" s="30"/>
      <c r="B32" s="18"/>
    </row>
    <row r="33" ht="15.75" customHeight="1">
      <c r="A33" s="30" t="s">
        <v>37</v>
      </c>
      <c r="B33" s="20">
        <v>0.0316</v>
      </c>
    </row>
    <row r="34" ht="15.75" customHeight="1">
      <c r="A34" s="30"/>
      <c r="B34" s="18"/>
    </row>
    <row r="35" ht="15.75" customHeight="1">
      <c r="A35" s="30" t="s">
        <v>38</v>
      </c>
      <c r="B35" s="20">
        <v>0.15</v>
      </c>
    </row>
    <row r="36" ht="15.75" customHeight="1">
      <c r="A36" s="30"/>
      <c r="B36" s="18"/>
    </row>
    <row r="37" ht="15.75" customHeight="1">
      <c r="A37" s="35" t="s">
        <v>39</v>
      </c>
      <c r="B37" s="23">
        <f>B25*(B29/(B29+B31))+B33*(B31/(B29+B31))*(1-B35)</f>
        <v>0.05492459568</v>
      </c>
    </row>
    <row r="38" ht="15.75" customHeight="1">
      <c r="B38" s="10"/>
    </row>
    <row r="39" ht="15.75" customHeight="1">
      <c r="A39" s="2" t="s">
        <v>40</v>
      </c>
      <c r="B39" s="10"/>
    </row>
    <row r="40" ht="15.75" customHeight="1"/>
    <row r="41" ht="15.75" customHeight="1">
      <c r="A41" s="3"/>
      <c r="B41" s="3"/>
      <c r="C41" s="24">
        <f>Optimistisch!C31</f>
        <v>45366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80.49596</v>
      </c>
      <c r="D42" s="8">
        <f>SUM(H13:M13)-B31</f>
        <v>94.45531451</v>
      </c>
    </row>
    <row r="43" ht="15.75" customHeight="1">
      <c r="A43" s="5"/>
      <c r="B43" s="5" t="s">
        <v>22</v>
      </c>
      <c r="C43" s="8">
        <f>Optimistisch!C33</f>
        <v>0.911</v>
      </c>
      <c r="D43" s="8">
        <f>C43</f>
        <v>0.911</v>
      </c>
    </row>
    <row r="44" ht="15.75" customHeight="1">
      <c r="A44" s="5"/>
      <c r="B44" s="5" t="s">
        <v>23</v>
      </c>
      <c r="C44" s="8">
        <f>Optimistisch!C34</f>
        <v>88.36</v>
      </c>
      <c r="D44" s="8">
        <f>D42/D43</f>
        <v>103.6831114</v>
      </c>
    </row>
    <row r="45" ht="15.75" customHeight="1">
      <c r="A45" s="5"/>
      <c r="B45" s="5" t="s">
        <v>24</v>
      </c>
      <c r="C45" s="5"/>
      <c r="D45" s="11">
        <f>IF(C44/D44-1&gt;0,0,C44/D44-1)*-1</f>
        <v>0.1477879205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