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ptimistisch" sheetId="1" r:id="rId4"/>
    <sheet state="visible" name="Pessimistisch" sheetId="2" r:id="rId5"/>
    <sheet state="visible" name="Wachstum für Faire Bewertung" sheetId="3" r:id="rId6"/>
    <sheet state="visible" name="DCF" sheetId="4" r:id="rId7"/>
  </sheets>
  <definedNames/>
  <calcPr/>
  <extLst>
    <ext uri="GoogleSheetsCustomDataVersion2">
      <go:sheetsCustomData xmlns:go="http://customooxmlschemas.google.com/" r:id="rId8" roundtripDataChecksum="878sHHCBRVykbDEDbhvv5zrAkqVEA23OKopQeQmDZEU="/>
    </ext>
  </extLst>
</workbook>
</file>

<file path=xl/sharedStrings.xml><?xml version="1.0" encoding="utf-8"?>
<sst xmlns="http://schemas.openxmlformats.org/spreadsheetml/2006/main" count="118" uniqueCount="41">
  <si>
    <t>Discounted Net-Profit Modell</t>
  </si>
  <si>
    <t>Annahmen für BASF</t>
  </si>
  <si>
    <t>Alle Angaben in Mrd.</t>
  </si>
  <si>
    <t>Schätzungen »</t>
  </si>
  <si>
    <t>Umsatz</t>
  </si>
  <si>
    <t>Umsatzwachstum</t>
  </si>
  <si>
    <t>-</t>
  </si>
  <si>
    <t>EBIT Marge</t>
  </si>
  <si>
    <t>EBIT</t>
  </si>
  <si>
    <t>Gewinn (abzgl. Steuern, Zinsen)</t>
  </si>
  <si>
    <t>Anzahl an Aktien (abzgl. Aktienrückkäufe)</t>
  </si>
  <si>
    <t>Gewinn je Aktie</t>
  </si>
  <si>
    <t>Abgezinster Gewinn</t>
  </si>
  <si>
    <t>Berechnung der Eigenkapitalkosten:</t>
  </si>
  <si>
    <t>Risikoloser Basiszins:</t>
  </si>
  <si>
    <t>Risikoprämie:</t>
  </si>
  <si>
    <t>Marktrendite:</t>
  </si>
  <si>
    <t>Beta-Faktor:</t>
  </si>
  <si>
    <t>Eigenkapitalkosten:</t>
  </si>
  <si>
    <t>Fairer Wert</t>
  </si>
  <si>
    <t>Bewertung</t>
  </si>
  <si>
    <t>Marktkapitalisierung</t>
  </si>
  <si>
    <t>Anzahl an Aktien</t>
  </si>
  <si>
    <t>Kurs je Aktie</t>
  </si>
  <si>
    <t>Unterbewertung</t>
  </si>
  <si>
    <t>Überbewertung</t>
  </si>
  <si>
    <t>Berechnung der Renditeerwartung:</t>
  </si>
  <si>
    <t>Durchschnittliche Ausschüttungsquote:</t>
  </si>
  <si>
    <t>Ausgeschüttete Gewinne:</t>
  </si>
  <si>
    <t>Quellensteuer</t>
  </si>
  <si>
    <t>Discounted Cashflow Modell</t>
  </si>
  <si>
    <t>Free Cashflow Marge</t>
  </si>
  <si>
    <t>Free Cashflow</t>
  </si>
  <si>
    <t>Abgezinster Free Cashflow</t>
  </si>
  <si>
    <t>Berechnung der WACC:</t>
  </si>
  <si>
    <t>Marktkapitalisierung:</t>
  </si>
  <si>
    <t>Verzinstes Fremdkapital:</t>
  </si>
  <si>
    <t>Zinsrate (durchschnittlich):</t>
  </si>
  <si>
    <t>Steuerrate (durchschnittlich):</t>
  </si>
  <si>
    <t>WACC:</t>
  </si>
  <si>
    <t>Wachstumsabschlag: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</si>
</sst>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2.0"/>
      <color theme="1"/>
      <name val="Calibri"/>
      <scheme val="minor"/>
    </font>
    <font>
      <b/>
      <sz val="20.0"/>
      <color theme="1"/>
      <name val="Calibri"/>
    </font>
    <font>
      <color theme="1"/>
      <name val="Calibri"/>
      <scheme val="minor"/>
    </font>
    <font>
      <sz val="12.0"/>
      <color theme="1"/>
      <name val="Calibri"/>
    </font>
    <font>
      <sz val="12.0"/>
      <color theme="0"/>
      <name val="Calibri"/>
    </font>
    <font>
      <u/>
      <sz val="12.0"/>
      <color theme="1"/>
      <name val="Calibri"/>
    </font>
    <font>
      <u/>
      <sz val="12.0"/>
      <color theme="1"/>
      <name val="Calibri"/>
    </font>
    <font>
      <sz val="12.0"/>
      <color rgb="FFFF0000"/>
      <name val="Calibri"/>
    </font>
  </fonts>
  <fills count="5">
    <fill>
      <patternFill patternType="none"/>
    </fill>
    <fill>
      <patternFill patternType="lightGray"/>
    </fill>
    <fill>
      <patternFill patternType="solid">
        <fgColor theme="1"/>
        <bgColor theme="1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</fills>
  <borders count="17">
    <border/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bottom style="thin">
        <color rgb="FF000000"/>
      </bottom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1" fillId="2" fontId="3" numFmtId="0" xfId="0" applyBorder="1" applyFill="1" applyFont="1"/>
    <xf borderId="1" fillId="2" fontId="4" numFmtId="0" xfId="0" applyBorder="1" applyFont="1"/>
    <xf borderId="1" fillId="3" fontId="3" numFmtId="0" xfId="0" applyBorder="1" applyFill="1" applyFont="1"/>
    <xf borderId="1" fillId="3" fontId="3" numFmtId="0" xfId="0" applyAlignment="1" applyBorder="1" applyFont="1">
      <alignment horizontal="right"/>
    </xf>
    <xf borderId="0" fillId="0" fontId="3" numFmtId="2" xfId="0" applyFont="1" applyNumberFormat="1"/>
    <xf borderId="1" fillId="3" fontId="3" numFmtId="2" xfId="0" applyBorder="1" applyFont="1" applyNumberFormat="1"/>
    <xf borderId="0" fillId="0" fontId="3" numFmtId="0" xfId="0" applyAlignment="1" applyFont="1">
      <alignment horizontal="right"/>
    </xf>
    <xf borderId="0" fillId="0" fontId="3" numFmtId="10" xfId="0" applyFont="1" applyNumberFormat="1"/>
    <xf borderId="1" fillId="3" fontId="3" numFmtId="10" xfId="0" applyBorder="1" applyFont="1" applyNumberFormat="1"/>
    <xf borderId="2" fillId="0" fontId="3" numFmtId="0" xfId="0" applyBorder="1" applyFont="1"/>
    <xf borderId="3" fillId="0" fontId="3" numFmtId="0" xfId="0" applyBorder="1" applyFont="1"/>
    <xf borderId="4" fillId="4" fontId="3" numFmtId="2" xfId="0" applyBorder="1" applyFill="1" applyFont="1" applyNumberFormat="1"/>
    <xf borderId="5" fillId="4" fontId="3" numFmtId="2" xfId="0" applyBorder="1" applyFont="1" applyNumberFormat="1"/>
    <xf borderId="6" fillId="0" fontId="5" numFmtId="0" xfId="0" applyBorder="1" applyFont="1"/>
    <xf borderId="7" fillId="0" fontId="3" numFmtId="0" xfId="0" applyBorder="1" applyFont="1"/>
    <xf borderId="8" fillId="0" fontId="3" numFmtId="0" xfId="0" applyBorder="1" applyFont="1"/>
    <xf borderId="8" fillId="0" fontId="3" numFmtId="10" xfId="0" applyAlignment="1" applyBorder="1" applyFont="1" applyNumberFormat="1">
      <alignment readingOrder="0"/>
    </xf>
    <xf borderId="8" fillId="0" fontId="3" numFmtId="10" xfId="0" applyBorder="1" applyFont="1" applyNumberFormat="1"/>
    <xf borderId="8" fillId="0" fontId="3" numFmtId="2" xfId="0" applyBorder="1" applyFont="1" applyNumberFormat="1"/>
    <xf borderId="9" fillId="0" fontId="3" numFmtId="0" xfId="0" applyBorder="1" applyFont="1"/>
    <xf borderId="10" fillId="0" fontId="3" numFmtId="10" xfId="0" applyBorder="1" applyFont="1" applyNumberFormat="1"/>
    <xf borderId="1" fillId="2" fontId="4" numFmtId="14" xfId="0" applyAlignment="1" applyBorder="1" applyFont="1" applyNumberFormat="1">
      <alignment horizontal="right"/>
    </xf>
    <xf borderId="1" fillId="2" fontId="4" numFmtId="0" xfId="0" applyAlignment="1" applyBorder="1" applyFont="1">
      <alignment horizontal="right"/>
    </xf>
    <xf borderId="1" fillId="3" fontId="3" numFmtId="2" xfId="0" applyAlignment="1" applyBorder="1" applyFont="1" applyNumberFormat="1">
      <alignment readingOrder="0"/>
    </xf>
    <xf borderId="1" fillId="4" fontId="3" numFmtId="0" xfId="0" applyBorder="1" applyFont="1"/>
    <xf borderId="11" fillId="0" fontId="6" numFmtId="0" xfId="0" applyBorder="1" applyFont="1"/>
    <xf borderId="6" fillId="0" fontId="3" numFmtId="0" xfId="0" applyBorder="1" applyFont="1"/>
    <xf borderId="12" fillId="0" fontId="3" numFmtId="0" xfId="0" applyBorder="1" applyFont="1"/>
    <xf borderId="13" fillId="3" fontId="3" numFmtId="0" xfId="0" applyBorder="1" applyFont="1"/>
    <xf borderId="14" fillId="3" fontId="3" numFmtId="0" xfId="0" applyBorder="1" applyFont="1"/>
    <xf borderId="15" fillId="3" fontId="3" numFmtId="10" xfId="0" applyBorder="1" applyFont="1" applyNumberFormat="1"/>
    <xf borderId="1" fillId="3" fontId="7" numFmtId="10" xfId="0" applyBorder="1" applyFont="1" applyNumberFormat="1"/>
    <xf borderId="16" fillId="0" fontId="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17.44"/>
    <col customWidth="1" min="2" max="2" width="27.22"/>
    <col customWidth="1" min="3" max="18" width="10.33"/>
    <col customWidth="1" min="19" max="26" width="8.33"/>
  </cols>
  <sheetData>
    <row r="1" ht="15.75" customHeight="1"/>
    <row r="2" ht="15.75" customHeight="1">
      <c r="B2" s="1" t="s">
        <v>0</v>
      </c>
    </row>
    <row r="3" ht="15.75" customHeight="1"/>
    <row r="4" ht="15.75" customHeight="1">
      <c r="B4" s="2" t="s">
        <v>1</v>
      </c>
    </row>
    <row r="5" ht="15.75" customHeight="1"/>
    <row r="6" ht="15.75" customHeight="1">
      <c r="B6" s="2" t="s">
        <v>2</v>
      </c>
    </row>
    <row r="7" ht="15.75" customHeight="1"/>
    <row r="8" ht="15.75" customHeight="1">
      <c r="A8" s="3"/>
      <c r="B8" s="3"/>
      <c r="C8" s="3"/>
      <c r="D8" s="3"/>
      <c r="E8" s="3"/>
      <c r="F8" s="3"/>
      <c r="G8" s="3"/>
      <c r="H8" s="4" t="s">
        <v>3</v>
      </c>
      <c r="I8" s="3"/>
      <c r="J8" s="3"/>
      <c r="K8" s="3"/>
      <c r="L8" s="3"/>
      <c r="M8" s="3"/>
      <c r="N8" s="3"/>
      <c r="O8" s="3"/>
      <c r="P8" s="3"/>
      <c r="Q8" s="3"/>
      <c r="R8" s="3"/>
    </row>
    <row r="9" ht="15.75" customHeight="1">
      <c r="C9" s="2">
        <v>2019.0</v>
      </c>
      <c r="D9" s="2">
        <f t="shared" ref="D9:Q9" si="1">C9+1</f>
        <v>2020</v>
      </c>
      <c r="E9" s="2">
        <f t="shared" si="1"/>
        <v>2021</v>
      </c>
      <c r="F9" s="2">
        <f t="shared" si="1"/>
        <v>2022</v>
      </c>
      <c r="G9" s="2">
        <f t="shared" si="1"/>
        <v>2023</v>
      </c>
      <c r="H9" s="5">
        <f t="shared" si="1"/>
        <v>2024</v>
      </c>
      <c r="I9" s="5">
        <f t="shared" si="1"/>
        <v>2025</v>
      </c>
      <c r="J9" s="5">
        <f t="shared" si="1"/>
        <v>2026</v>
      </c>
      <c r="K9" s="5">
        <f t="shared" si="1"/>
        <v>2027</v>
      </c>
      <c r="L9" s="5">
        <f t="shared" si="1"/>
        <v>2028</v>
      </c>
      <c r="M9" s="5">
        <f t="shared" si="1"/>
        <v>2029</v>
      </c>
      <c r="N9" s="5">
        <f t="shared" si="1"/>
        <v>2030</v>
      </c>
      <c r="O9" s="5">
        <f t="shared" si="1"/>
        <v>2031</v>
      </c>
      <c r="P9" s="5">
        <f t="shared" si="1"/>
        <v>2032</v>
      </c>
      <c r="Q9" s="5">
        <f t="shared" si="1"/>
        <v>2033</v>
      </c>
      <c r="R9" s="6" t="str">
        <f>Q9+1&amp;"ff."</f>
        <v>2034ff.</v>
      </c>
    </row>
    <row r="10" ht="15.75" customHeight="1">
      <c r="B10" s="2" t="s">
        <v>4</v>
      </c>
      <c r="C10" s="7">
        <v>59.316</v>
      </c>
      <c r="D10" s="7">
        <v>59.149</v>
      </c>
      <c r="E10" s="7">
        <v>78.598</v>
      </c>
      <c r="F10" s="7">
        <v>87.327</v>
      </c>
      <c r="G10" s="7">
        <v>68.902</v>
      </c>
      <c r="H10" s="8">
        <v>70.09129</v>
      </c>
      <c r="I10" s="8">
        <v>72.96236</v>
      </c>
      <c r="J10" s="8">
        <v>75.39955</v>
      </c>
      <c r="K10" s="8">
        <f t="shared" ref="K10:R10" si="2">J10*(1+K11)</f>
        <v>79.54652525</v>
      </c>
      <c r="L10" s="8">
        <f t="shared" si="2"/>
        <v>80.73972313</v>
      </c>
      <c r="M10" s="8">
        <f t="shared" si="2"/>
        <v>76.70273697</v>
      </c>
      <c r="N10" s="8">
        <f t="shared" si="2"/>
        <v>74.78516855</v>
      </c>
      <c r="O10" s="8">
        <f t="shared" si="2"/>
        <v>86.00294383</v>
      </c>
      <c r="P10" s="8">
        <f t="shared" si="2"/>
        <v>93.31319406</v>
      </c>
      <c r="Q10" s="8">
        <f t="shared" si="2"/>
        <v>97.51228779</v>
      </c>
      <c r="R10" s="8">
        <f t="shared" si="2"/>
        <v>98.48741067</v>
      </c>
    </row>
    <row r="11" ht="15.75" customHeight="1">
      <c r="B11" s="2" t="s">
        <v>5</v>
      </c>
      <c r="C11" s="9" t="s">
        <v>6</v>
      </c>
      <c r="D11" s="10">
        <f t="shared" ref="D11:J11" si="3">D10/C10-1</f>
        <v>-0.002815429227</v>
      </c>
      <c r="E11" s="10">
        <f t="shared" si="3"/>
        <v>0.3288136739</v>
      </c>
      <c r="F11" s="10">
        <f t="shared" si="3"/>
        <v>0.1110588056</v>
      </c>
      <c r="G11" s="10">
        <f t="shared" si="3"/>
        <v>-0.2109885831</v>
      </c>
      <c r="H11" s="11">
        <f t="shared" si="3"/>
        <v>0.01726060201</v>
      </c>
      <c r="I11" s="11">
        <f t="shared" si="3"/>
        <v>0.04096186559</v>
      </c>
      <c r="J11" s="11">
        <f t="shared" si="3"/>
        <v>0.03340338772</v>
      </c>
      <c r="K11" s="11">
        <v>0.055</v>
      </c>
      <c r="L11" s="11">
        <v>0.015</v>
      </c>
      <c r="M11" s="11">
        <v>-0.05</v>
      </c>
      <c r="N11" s="11">
        <v>-0.025</v>
      </c>
      <c r="O11" s="11">
        <v>0.15</v>
      </c>
      <c r="P11" s="11">
        <v>0.085</v>
      </c>
      <c r="Q11" s="11">
        <v>0.045</v>
      </c>
      <c r="R11" s="11">
        <v>0.01</v>
      </c>
    </row>
    <row r="12" ht="15.75" customHeight="1">
      <c r="B12" s="2" t="s">
        <v>7</v>
      </c>
      <c r="C12" s="10">
        <f t="shared" ref="C12:J12" si="4">C13/C10</f>
        <v>0.07082406096</v>
      </c>
      <c r="D12" s="10">
        <f t="shared" si="4"/>
        <v>-0.003229133206</v>
      </c>
      <c r="E12" s="10">
        <f t="shared" si="4"/>
        <v>0.09767424107</v>
      </c>
      <c r="F12" s="10">
        <f t="shared" si="4"/>
        <v>0.0749825369</v>
      </c>
      <c r="G12" s="10">
        <f t="shared" si="4"/>
        <v>0.03250994166</v>
      </c>
      <c r="H12" s="11">
        <f t="shared" si="4"/>
        <v>0.03645589472</v>
      </c>
      <c r="I12" s="11">
        <f t="shared" si="4"/>
        <v>0.04305211477</v>
      </c>
      <c r="J12" s="11">
        <f t="shared" si="4"/>
        <v>0.04517232835</v>
      </c>
      <c r="K12" s="11">
        <v>0.0475</v>
      </c>
      <c r="L12" s="11">
        <v>0.0525</v>
      </c>
      <c r="M12" s="11">
        <v>-0.005</v>
      </c>
      <c r="N12" s="11">
        <v>0.01</v>
      </c>
      <c r="O12" s="11">
        <v>0.05</v>
      </c>
      <c r="P12" s="11">
        <v>0.055</v>
      </c>
      <c r="Q12" s="11">
        <v>0.055</v>
      </c>
      <c r="R12" s="11">
        <v>0.045</v>
      </c>
    </row>
    <row r="13" ht="15.75" customHeight="1">
      <c r="B13" s="2" t="s">
        <v>8</v>
      </c>
      <c r="C13" s="7">
        <v>4.201</v>
      </c>
      <c r="D13" s="7">
        <v>-0.191</v>
      </c>
      <c r="E13" s="7">
        <v>7.677</v>
      </c>
      <c r="F13" s="7">
        <v>6.548</v>
      </c>
      <c r="G13" s="7">
        <v>2.24</v>
      </c>
      <c r="H13" s="8">
        <v>2.5552406890021078</v>
      </c>
      <c r="I13" s="8">
        <v>3.1411838963047294</v>
      </c>
      <c r="J13" s="8">
        <v>3.405973230200088</v>
      </c>
      <c r="K13" s="8">
        <f t="shared" ref="K13:R13" si="5">K10*K12</f>
        <v>3.778459949</v>
      </c>
      <c r="L13" s="8">
        <f t="shared" si="5"/>
        <v>4.238835464</v>
      </c>
      <c r="M13" s="8">
        <f t="shared" si="5"/>
        <v>-0.3835136849</v>
      </c>
      <c r="N13" s="8">
        <f t="shared" si="5"/>
        <v>0.7478516855</v>
      </c>
      <c r="O13" s="8">
        <f t="shared" si="5"/>
        <v>4.300147192</v>
      </c>
      <c r="P13" s="8">
        <f t="shared" si="5"/>
        <v>5.132225673</v>
      </c>
      <c r="Q13" s="8">
        <f t="shared" si="5"/>
        <v>5.363175828</v>
      </c>
      <c r="R13" s="8">
        <f t="shared" si="5"/>
        <v>4.43193348</v>
      </c>
    </row>
    <row r="14" ht="15.75" customHeight="1">
      <c r="A14" s="11">
        <v>0.25</v>
      </c>
      <c r="B14" s="2" t="s">
        <v>9</v>
      </c>
      <c r="C14" s="7">
        <v>8.421</v>
      </c>
      <c r="D14" s="7">
        <v>-1.06</v>
      </c>
      <c r="E14" s="7">
        <v>5.523</v>
      </c>
      <c r="F14" s="7">
        <v>-0.627</v>
      </c>
      <c r="G14" s="7">
        <v>0.225</v>
      </c>
      <c r="H14" s="8">
        <v>2.7756150840000005</v>
      </c>
      <c r="I14" s="8">
        <v>3.7137841240000005</v>
      </c>
      <c r="J14" s="8">
        <v>4.154515205000001</v>
      </c>
      <c r="K14" s="8">
        <f t="shared" ref="K14:R14" si="6">K13*(1-$A$14)</f>
        <v>2.833844962</v>
      </c>
      <c r="L14" s="8">
        <f t="shared" si="6"/>
        <v>3.179126598</v>
      </c>
      <c r="M14" s="8">
        <f t="shared" si="6"/>
        <v>-0.2876352636</v>
      </c>
      <c r="N14" s="8">
        <f t="shared" si="6"/>
        <v>0.5608887641</v>
      </c>
      <c r="O14" s="8">
        <f t="shared" si="6"/>
        <v>3.225110394</v>
      </c>
      <c r="P14" s="8">
        <f t="shared" si="6"/>
        <v>3.849169255</v>
      </c>
      <c r="Q14" s="8">
        <f t="shared" si="6"/>
        <v>4.022381871</v>
      </c>
      <c r="R14" s="8">
        <f t="shared" si="6"/>
        <v>3.32395011</v>
      </c>
    </row>
    <row r="15" ht="15.75" customHeight="1">
      <c r="A15" s="11">
        <v>0.99</v>
      </c>
      <c r="B15" s="2" t="s">
        <v>10</v>
      </c>
      <c r="H15" s="8">
        <f>C33</f>
        <v>0.8925</v>
      </c>
      <c r="I15" s="8">
        <f t="shared" ref="I15:Q15" si="7">H15*$A$15</f>
        <v>0.883575</v>
      </c>
      <c r="J15" s="8">
        <f t="shared" si="7"/>
        <v>0.87473925</v>
      </c>
      <c r="K15" s="8">
        <f t="shared" si="7"/>
        <v>0.8659918575</v>
      </c>
      <c r="L15" s="8">
        <f t="shared" si="7"/>
        <v>0.8573319389</v>
      </c>
      <c r="M15" s="8">
        <f t="shared" si="7"/>
        <v>0.8487586195</v>
      </c>
      <c r="N15" s="8">
        <f t="shared" si="7"/>
        <v>0.8402710333</v>
      </c>
      <c r="O15" s="8">
        <f t="shared" si="7"/>
        <v>0.831868323</v>
      </c>
      <c r="P15" s="8">
        <f t="shared" si="7"/>
        <v>0.8235496398</v>
      </c>
      <c r="Q15" s="8">
        <f t="shared" si="7"/>
        <v>0.8153141434</v>
      </c>
      <c r="R15" s="6" t="s">
        <v>6</v>
      </c>
    </row>
    <row r="16" ht="15.75" customHeight="1">
      <c r="B16" s="2" t="s">
        <v>11</v>
      </c>
      <c r="H16" s="8">
        <f t="shared" ref="H16:Q16" si="8">H14/H15</f>
        <v>3.109932867</v>
      </c>
      <c r="I16" s="8">
        <f t="shared" si="8"/>
        <v>4.203134</v>
      </c>
      <c r="J16" s="8">
        <f t="shared" si="8"/>
        <v>4.749432708</v>
      </c>
      <c r="K16" s="8">
        <f t="shared" si="8"/>
        <v>3.272369062</v>
      </c>
      <c r="L16" s="8">
        <f t="shared" si="8"/>
        <v>3.708163027</v>
      </c>
      <c r="M16" s="8">
        <f t="shared" si="8"/>
        <v>-0.338889358</v>
      </c>
      <c r="N16" s="8">
        <f t="shared" si="8"/>
        <v>0.6675093415</v>
      </c>
      <c r="O16" s="8">
        <f t="shared" si="8"/>
        <v>3.876948195</v>
      </c>
      <c r="P16" s="8">
        <f t="shared" si="8"/>
        <v>4.673876435</v>
      </c>
      <c r="Q16" s="8">
        <f t="shared" si="8"/>
        <v>4.933536237</v>
      </c>
      <c r="R16" s="6" t="s">
        <v>6</v>
      </c>
    </row>
    <row r="17" ht="15.75" customHeight="1">
      <c r="F17" s="12" t="s">
        <v>12</v>
      </c>
      <c r="G17" s="13"/>
      <c r="H17" s="14">
        <f>H14/(1+$B$29)</f>
        <v>2.579609637</v>
      </c>
      <c r="I17" s="14">
        <f>I14/(1+$B$29)^2</f>
        <v>3.207791696</v>
      </c>
      <c r="J17" s="14">
        <f>J14/(1+$B$29)^3</f>
        <v>3.335067344</v>
      </c>
      <c r="K17" s="14">
        <f>K14/(1+$B$29)^4</f>
        <v>2.114243935</v>
      </c>
      <c r="L17" s="14">
        <f>L14/(1+$B$29)^5</f>
        <v>2.204355225</v>
      </c>
      <c r="M17" s="14">
        <f>M14/(1+$B$29)^6</f>
        <v>-0.185357703</v>
      </c>
      <c r="N17" s="14">
        <f>N14/(1+$B$29)^7</f>
        <v>0.3359232026</v>
      </c>
      <c r="O17" s="14">
        <f>O14/(1+$B$29)^8</f>
        <v>1.795157668</v>
      </c>
      <c r="P17" s="14">
        <f>P14/(1+$B$29)^9</f>
        <v>1.99122242</v>
      </c>
      <c r="Q17" s="14">
        <f>Q14/(1+$B$29)^10</f>
        <v>1.933885761</v>
      </c>
      <c r="R17" s="15">
        <f>(R14/(B29-R11))/(1+B29)^10</f>
        <v>24.21991358</v>
      </c>
    </row>
    <row r="18" ht="15.75" customHeight="1"/>
    <row r="19" ht="15.75" customHeight="1">
      <c r="A19" s="16" t="s">
        <v>13</v>
      </c>
      <c r="B19" s="17"/>
    </row>
    <row r="20" ht="15.75" customHeight="1">
      <c r="B20" s="18"/>
    </row>
    <row r="21" ht="15.75" customHeight="1">
      <c r="A21" s="2" t="s">
        <v>14</v>
      </c>
      <c r="B21" s="19">
        <v>0.02398</v>
      </c>
    </row>
    <row r="22" ht="15.75" customHeight="1">
      <c r="B22" s="18"/>
    </row>
    <row r="23" ht="15.75" customHeight="1">
      <c r="A23" s="2" t="s">
        <v>15</v>
      </c>
      <c r="B23" s="20">
        <f>(B25-B21)*B27</f>
        <v>0.0520026</v>
      </c>
    </row>
    <row r="24" ht="15.75" customHeight="1">
      <c r="B24" s="18"/>
    </row>
    <row r="25" ht="15.75" customHeight="1">
      <c r="A25" s="2" t="s">
        <v>16</v>
      </c>
      <c r="B25" s="20">
        <v>0.07</v>
      </c>
    </row>
    <row r="26" ht="15.75" customHeight="1">
      <c r="B26" s="18"/>
    </row>
    <row r="27" ht="15.75" customHeight="1">
      <c r="A27" s="2" t="s">
        <v>17</v>
      </c>
      <c r="B27" s="21">
        <v>1.13</v>
      </c>
    </row>
    <row r="28" ht="15.75" customHeight="1">
      <c r="B28" s="18"/>
    </row>
    <row r="29" ht="15.75" customHeight="1">
      <c r="A29" s="22" t="s">
        <v>18</v>
      </c>
      <c r="B29" s="23">
        <f>B21+(B25-B21)*B27</f>
        <v>0.0759826</v>
      </c>
    </row>
    <row r="30" ht="15.75" customHeight="1"/>
    <row r="31" ht="15.75" customHeight="1">
      <c r="A31" s="3"/>
      <c r="B31" s="3"/>
      <c r="C31" s="24">
        <v>45387.0</v>
      </c>
      <c r="D31" s="25" t="s">
        <v>19</v>
      </c>
    </row>
    <row r="32" ht="15.75" customHeight="1">
      <c r="A32" s="5" t="s">
        <v>20</v>
      </c>
      <c r="B32" s="5" t="s">
        <v>21</v>
      </c>
      <c r="C32" s="8">
        <f>C33*C34</f>
        <v>48.043275</v>
      </c>
      <c r="D32" s="8">
        <f>SUM(H17:R17)</f>
        <v>43.53181276</v>
      </c>
    </row>
    <row r="33" ht="15.75" customHeight="1">
      <c r="A33" s="5"/>
      <c r="B33" s="5" t="s">
        <v>22</v>
      </c>
      <c r="C33" s="8">
        <v>0.8925</v>
      </c>
      <c r="D33" s="8">
        <f>C33</f>
        <v>0.8925</v>
      </c>
    </row>
    <row r="34" ht="15.75" customHeight="1">
      <c r="A34" s="5"/>
      <c r="B34" s="5" t="s">
        <v>23</v>
      </c>
      <c r="C34" s="26">
        <v>53.83</v>
      </c>
      <c r="D34" s="8">
        <f>D32/D33</f>
        <v>48.77514035</v>
      </c>
    </row>
    <row r="35" ht="15.75" customHeight="1">
      <c r="A35" s="5"/>
      <c r="B35" s="5" t="s">
        <v>24</v>
      </c>
      <c r="C35" s="5"/>
      <c r="D35" s="11">
        <f>IF(C34/D34-1&gt;0,0,C34/D34-1)*-1</f>
        <v>0</v>
      </c>
    </row>
    <row r="36" ht="15.75" customHeight="1">
      <c r="A36" s="5"/>
      <c r="B36" s="5" t="s">
        <v>25</v>
      </c>
      <c r="C36" s="5"/>
      <c r="D36" s="11">
        <f>IF(C34/D34-1&lt;0,0,C34/D34-1)</f>
        <v>0.1036359837</v>
      </c>
    </row>
    <row r="37" ht="15.75" customHeight="1">
      <c r="A37" s="27"/>
      <c r="B37" s="27"/>
      <c r="C37" s="27"/>
      <c r="D37" s="27"/>
    </row>
    <row r="38" ht="15.75" customHeight="1">
      <c r="A38" s="28" t="s">
        <v>26</v>
      </c>
      <c r="B38" s="29"/>
      <c r="C38" s="29"/>
      <c r="D38" s="17"/>
    </row>
    <row r="39" ht="15.75" customHeight="1">
      <c r="A39" s="30"/>
      <c r="D39" s="18"/>
    </row>
    <row r="40" ht="15.75" customHeight="1">
      <c r="A40" s="30" t="str">
        <f>"KGV in "&amp;Q9&amp;":"</f>
        <v>KGV in 2033:</v>
      </c>
      <c r="D40" s="21">
        <v>16.0</v>
      </c>
    </row>
    <row r="41" ht="15.75" customHeight="1">
      <c r="A41" s="30"/>
      <c r="D41" s="18"/>
    </row>
    <row r="42" ht="15.75" customHeight="1">
      <c r="A42" s="30" t="str">
        <f>"Aktienkurs in "&amp;Q9&amp;":"</f>
        <v>Aktienkurs in 2033:</v>
      </c>
      <c r="D42" s="21">
        <f>Q16*D40</f>
        <v>78.9365798</v>
      </c>
    </row>
    <row r="43" ht="15.75" customHeight="1">
      <c r="A43" s="30"/>
      <c r="D43" s="18"/>
    </row>
    <row r="44" ht="15.75" customHeight="1">
      <c r="A44" s="30" t="s">
        <v>27</v>
      </c>
      <c r="D44" s="20">
        <v>0.6</v>
      </c>
    </row>
    <row r="45" ht="15.75" customHeight="1">
      <c r="A45" s="30"/>
      <c r="D45" s="18"/>
    </row>
    <row r="46" ht="15.75" customHeight="1">
      <c r="A46" s="30" t="s">
        <v>28</v>
      </c>
      <c r="D46" s="21">
        <f>D44*SUM(H16:Q16)</f>
        <v>19.71360751</v>
      </c>
    </row>
    <row r="47" ht="15.75" customHeight="1">
      <c r="A47" s="30"/>
      <c r="D47" s="18"/>
    </row>
    <row r="48" ht="15.75" customHeight="1">
      <c r="A48" s="30" t="s">
        <v>29</v>
      </c>
      <c r="D48" s="20">
        <v>0.0</v>
      </c>
    </row>
    <row r="49" ht="15.75" customHeight="1">
      <c r="A49" s="30"/>
      <c r="D49" s="18"/>
    </row>
    <row r="50" ht="15.75" customHeight="1">
      <c r="A50" s="30" t="str">
        <f>"Gesamtwert "&amp;Q9</f>
        <v>Gesamtwert 2033</v>
      </c>
      <c r="D50" s="21">
        <f>D42+D46*(1-D48)</f>
        <v>98.65018731</v>
      </c>
    </row>
    <row r="51" ht="15.75" customHeight="1">
      <c r="A51" s="30"/>
      <c r="D51" s="18"/>
    </row>
    <row r="52" ht="15.75" customHeight="1">
      <c r="A52" s="30" t="str">
        <f>"Steigerung bis "&amp;Q9</f>
        <v>Steigerung bis 2033</v>
      </c>
      <c r="D52" s="20">
        <f>D50/C34-1</f>
        <v>0.8326246946</v>
      </c>
    </row>
    <row r="53" ht="15.75" customHeight="1">
      <c r="A53" s="30"/>
      <c r="D53" s="18"/>
    </row>
    <row r="54" ht="15.75" customHeight="1">
      <c r="A54" s="31" t="str">
        <f>"Renditeerwartung bis "&amp;Q9&amp;" pro Jahr"</f>
        <v>Renditeerwartung bis 2033 pro Jahr</v>
      </c>
      <c r="B54" s="32"/>
      <c r="C54" s="32"/>
      <c r="D54" s="33">
        <f>(D50/C34)^(1/10)-1</f>
        <v>0.06244719299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7" right="0.7" top="0.7874015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17.44"/>
    <col customWidth="1" min="2" max="2" width="27.22"/>
    <col customWidth="1" min="3" max="18" width="10.33"/>
    <col customWidth="1" min="19" max="26" width="8.33"/>
  </cols>
  <sheetData>
    <row r="1" ht="15.75" customHeight="1"/>
    <row r="2" ht="15.75" customHeight="1">
      <c r="B2" s="1" t="s">
        <v>0</v>
      </c>
    </row>
    <row r="3" ht="15.75" customHeight="1"/>
    <row r="4" ht="15.75" customHeight="1">
      <c r="B4" s="2" t="str">
        <f>Optimistisch!B4</f>
        <v>Annahmen für BASF</v>
      </c>
    </row>
    <row r="5" ht="15.75" customHeight="1"/>
    <row r="6" ht="15.75" customHeight="1">
      <c r="B6" s="2" t="str">
        <f>Optimistisch!B6</f>
        <v>Alle Angaben in Mrd.</v>
      </c>
    </row>
    <row r="7" ht="15.75" customHeight="1"/>
    <row r="8" ht="15.75" customHeight="1">
      <c r="A8" s="3"/>
      <c r="B8" s="3"/>
      <c r="C8" s="3"/>
      <c r="D8" s="3"/>
      <c r="E8" s="3"/>
      <c r="F8" s="3"/>
      <c r="G8" s="3"/>
      <c r="H8" s="4" t="s">
        <v>3</v>
      </c>
      <c r="I8" s="3"/>
      <c r="J8" s="3"/>
      <c r="K8" s="3"/>
      <c r="L8" s="3"/>
      <c r="M8" s="3"/>
      <c r="N8" s="3"/>
      <c r="O8" s="3"/>
      <c r="P8" s="3"/>
      <c r="Q8" s="3"/>
      <c r="R8" s="3"/>
    </row>
    <row r="9" ht="15.75" customHeight="1">
      <c r="C9" s="2">
        <f>Optimistisch!C9</f>
        <v>2019</v>
      </c>
      <c r="D9" s="2">
        <f t="shared" ref="D9:Q9" si="1">C9+1</f>
        <v>2020</v>
      </c>
      <c r="E9" s="2">
        <f t="shared" si="1"/>
        <v>2021</v>
      </c>
      <c r="F9" s="2">
        <f t="shared" si="1"/>
        <v>2022</v>
      </c>
      <c r="G9" s="2">
        <f t="shared" si="1"/>
        <v>2023</v>
      </c>
      <c r="H9" s="5">
        <f t="shared" si="1"/>
        <v>2024</v>
      </c>
      <c r="I9" s="5">
        <f t="shared" si="1"/>
        <v>2025</v>
      </c>
      <c r="J9" s="5">
        <f t="shared" si="1"/>
        <v>2026</v>
      </c>
      <c r="K9" s="5">
        <f t="shared" si="1"/>
        <v>2027</v>
      </c>
      <c r="L9" s="5">
        <f t="shared" si="1"/>
        <v>2028</v>
      </c>
      <c r="M9" s="5">
        <f t="shared" si="1"/>
        <v>2029</v>
      </c>
      <c r="N9" s="5">
        <f t="shared" si="1"/>
        <v>2030</v>
      </c>
      <c r="O9" s="5">
        <f t="shared" si="1"/>
        <v>2031</v>
      </c>
      <c r="P9" s="5">
        <f t="shared" si="1"/>
        <v>2032</v>
      </c>
      <c r="Q9" s="5">
        <f t="shared" si="1"/>
        <v>2033</v>
      </c>
      <c r="R9" s="6" t="str">
        <f>Q9+1&amp;"ff."</f>
        <v>2034ff.</v>
      </c>
    </row>
    <row r="10" ht="15.75" customHeight="1">
      <c r="B10" s="2" t="s">
        <v>4</v>
      </c>
      <c r="C10" s="7">
        <f>Optimistisch!C10</f>
        <v>59.316</v>
      </c>
      <c r="D10" s="7">
        <f>Optimistisch!D10</f>
        <v>59.149</v>
      </c>
      <c r="E10" s="7">
        <f>Optimistisch!E10</f>
        <v>78.598</v>
      </c>
      <c r="F10" s="7">
        <f>Optimistisch!F10</f>
        <v>87.327</v>
      </c>
      <c r="G10" s="7">
        <f>Optimistisch!G10</f>
        <v>68.902</v>
      </c>
      <c r="H10" s="8">
        <f>Optimistisch!H10</f>
        <v>70.09129</v>
      </c>
      <c r="I10" s="8">
        <f>Optimistisch!I10</f>
        <v>72.96236</v>
      </c>
      <c r="J10" s="8">
        <f>Optimistisch!J10</f>
        <v>75.39955</v>
      </c>
      <c r="K10" s="8">
        <f t="shared" ref="K10:R10" si="2">J10*(1+K11)</f>
        <v>78.415532</v>
      </c>
      <c r="L10" s="8">
        <f t="shared" si="2"/>
        <v>78.415532</v>
      </c>
      <c r="M10" s="8">
        <f t="shared" si="2"/>
        <v>72.5343671</v>
      </c>
      <c r="N10" s="8">
        <f t="shared" si="2"/>
        <v>69.63299242</v>
      </c>
      <c r="O10" s="8">
        <f t="shared" si="2"/>
        <v>77.98895151</v>
      </c>
      <c r="P10" s="8">
        <f t="shared" si="2"/>
        <v>81.49845432</v>
      </c>
      <c r="Q10" s="8">
        <f t="shared" si="2"/>
        <v>83.12842341</v>
      </c>
      <c r="R10" s="8">
        <f t="shared" si="2"/>
        <v>83.54406553</v>
      </c>
    </row>
    <row r="11" ht="15.75" customHeight="1">
      <c r="B11" s="2" t="s">
        <v>5</v>
      </c>
      <c r="C11" s="9" t="s">
        <v>6</v>
      </c>
      <c r="D11" s="10">
        <f t="shared" ref="D11:J11" si="3">D10/C10-1</f>
        <v>-0.002815429227</v>
      </c>
      <c r="E11" s="10">
        <f t="shared" si="3"/>
        <v>0.3288136739</v>
      </c>
      <c r="F11" s="10">
        <f t="shared" si="3"/>
        <v>0.1110588056</v>
      </c>
      <c r="G11" s="10">
        <f t="shared" si="3"/>
        <v>-0.2109885831</v>
      </c>
      <c r="H11" s="11">
        <f t="shared" si="3"/>
        <v>0.01726060201</v>
      </c>
      <c r="I11" s="11">
        <f t="shared" si="3"/>
        <v>0.04096186559</v>
      </c>
      <c r="J11" s="11">
        <f t="shared" si="3"/>
        <v>0.03340338772</v>
      </c>
      <c r="K11" s="34">
        <v>0.04</v>
      </c>
      <c r="L11" s="34">
        <v>0.0</v>
      </c>
      <c r="M11" s="34">
        <v>-0.075</v>
      </c>
      <c r="N11" s="34">
        <v>-0.04</v>
      </c>
      <c r="O11" s="34">
        <v>0.12</v>
      </c>
      <c r="P11" s="34">
        <v>0.045</v>
      </c>
      <c r="Q11" s="34">
        <v>0.02</v>
      </c>
      <c r="R11" s="34">
        <v>0.005</v>
      </c>
    </row>
    <row r="12" ht="15.75" customHeight="1">
      <c r="B12" s="2" t="s">
        <v>7</v>
      </c>
      <c r="C12" s="10">
        <f t="shared" ref="C12:J12" si="4">C13/C10</f>
        <v>0.07082406096</v>
      </c>
      <c r="D12" s="10">
        <f t="shared" si="4"/>
        <v>-0.003229133206</v>
      </c>
      <c r="E12" s="10">
        <f t="shared" si="4"/>
        <v>0.09767424107</v>
      </c>
      <c r="F12" s="10">
        <f t="shared" si="4"/>
        <v>0.0749825369</v>
      </c>
      <c r="G12" s="10">
        <f t="shared" si="4"/>
        <v>0.03250994166</v>
      </c>
      <c r="H12" s="11">
        <f t="shared" si="4"/>
        <v>0.03645589472</v>
      </c>
      <c r="I12" s="11">
        <f t="shared" si="4"/>
        <v>0.04305211477</v>
      </c>
      <c r="J12" s="11">
        <f t="shared" si="4"/>
        <v>0.04517232835</v>
      </c>
      <c r="K12" s="34">
        <v>0.045</v>
      </c>
      <c r="L12" s="34">
        <v>0.0475</v>
      </c>
      <c r="M12" s="34">
        <v>-0.025</v>
      </c>
      <c r="N12" s="34">
        <v>0.005</v>
      </c>
      <c r="O12" s="34">
        <v>0.025</v>
      </c>
      <c r="P12" s="34">
        <v>0.035</v>
      </c>
      <c r="Q12" s="34">
        <v>0.04</v>
      </c>
      <c r="R12" s="34">
        <v>0.045</v>
      </c>
    </row>
    <row r="13" ht="15.75" customHeight="1">
      <c r="B13" s="2" t="s">
        <v>8</v>
      </c>
      <c r="C13" s="7">
        <f>Optimistisch!C13</f>
        <v>4.201</v>
      </c>
      <c r="D13" s="7">
        <f>Optimistisch!D13</f>
        <v>-0.191</v>
      </c>
      <c r="E13" s="7">
        <f>Optimistisch!E13</f>
        <v>7.677</v>
      </c>
      <c r="F13" s="7">
        <f>Optimistisch!F13</f>
        <v>6.548</v>
      </c>
      <c r="G13" s="7">
        <f>Optimistisch!G13</f>
        <v>2.24</v>
      </c>
      <c r="H13" s="8">
        <f>Optimistisch!H13</f>
        <v>2.555240689</v>
      </c>
      <c r="I13" s="8">
        <f>Optimistisch!I13</f>
        <v>3.141183896</v>
      </c>
      <c r="J13" s="8">
        <f>Optimistisch!J13</f>
        <v>3.40597323</v>
      </c>
      <c r="K13" s="8">
        <f t="shared" ref="K13:R13" si="5">K10*K12</f>
        <v>3.52869894</v>
      </c>
      <c r="L13" s="8">
        <f t="shared" si="5"/>
        <v>3.72473777</v>
      </c>
      <c r="M13" s="8">
        <f t="shared" si="5"/>
        <v>-1.813359178</v>
      </c>
      <c r="N13" s="8">
        <f t="shared" si="5"/>
        <v>0.3481649621</v>
      </c>
      <c r="O13" s="8">
        <f t="shared" si="5"/>
        <v>1.949723788</v>
      </c>
      <c r="P13" s="8">
        <f t="shared" si="5"/>
        <v>2.852445901</v>
      </c>
      <c r="Q13" s="8">
        <f t="shared" si="5"/>
        <v>3.325136936</v>
      </c>
      <c r="R13" s="8">
        <f t="shared" si="5"/>
        <v>3.759482949</v>
      </c>
    </row>
    <row r="14" ht="15.75" customHeight="1">
      <c r="A14" s="11">
        <v>0.3</v>
      </c>
      <c r="B14" s="2" t="s">
        <v>9</v>
      </c>
      <c r="C14" s="7">
        <f>Optimistisch!C14</f>
        <v>8.421</v>
      </c>
      <c r="D14" s="7">
        <f>Optimistisch!D14</f>
        <v>-1.06</v>
      </c>
      <c r="E14" s="7">
        <f>Optimistisch!E14</f>
        <v>5.523</v>
      </c>
      <c r="F14" s="7">
        <f>Optimistisch!F14</f>
        <v>-0.627</v>
      </c>
      <c r="G14" s="7">
        <f>Optimistisch!G14</f>
        <v>0.225</v>
      </c>
      <c r="H14" s="8">
        <f>Optimistisch!H14</f>
        <v>2.775615084</v>
      </c>
      <c r="I14" s="8">
        <f>Optimistisch!I14</f>
        <v>3.713784124</v>
      </c>
      <c r="J14" s="8">
        <f>Optimistisch!J14</f>
        <v>4.154515205</v>
      </c>
      <c r="K14" s="8">
        <f t="shared" ref="K14:R14" si="6">K13*(1-$A$14)</f>
        <v>2.470089258</v>
      </c>
      <c r="L14" s="8">
        <f t="shared" si="6"/>
        <v>2.607316439</v>
      </c>
      <c r="M14" s="8">
        <f t="shared" si="6"/>
        <v>-1.269351424</v>
      </c>
      <c r="N14" s="8">
        <f t="shared" si="6"/>
        <v>0.2437154735</v>
      </c>
      <c r="O14" s="8">
        <f t="shared" si="6"/>
        <v>1.364806651</v>
      </c>
      <c r="P14" s="8">
        <f t="shared" si="6"/>
        <v>1.996712131</v>
      </c>
      <c r="Q14" s="8">
        <f t="shared" si="6"/>
        <v>2.327595855</v>
      </c>
      <c r="R14" s="8">
        <f t="shared" si="6"/>
        <v>2.631638064</v>
      </c>
    </row>
    <row r="15" ht="15.75" customHeight="1">
      <c r="A15" s="11">
        <v>1.0</v>
      </c>
      <c r="B15" s="2" t="s">
        <v>10</v>
      </c>
      <c r="H15" s="8">
        <f>C33</f>
        <v>0.8925</v>
      </c>
      <c r="I15" s="8">
        <f t="shared" ref="I15:Q15" si="7">H15*$A$15</f>
        <v>0.8925</v>
      </c>
      <c r="J15" s="8">
        <f t="shared" si="7"/>
        <v>0.8925</v>
      </c>
      <c r="K15" s="8">
        <f t="shared" si="7"/>
        <v>0.8925</v>
      </c>
      <c r="L15" s="8">
        <f t="shared" si="7"/>
        <v>0.8925</v>
      </c>
      <c r="M15" s="8">
        <f t="shared" si="7"/>
        <v>0.8925</v>
      </c>
      <c r="N15" s="8">
        <f t="shared" si="7"/>
        <v>0.8925</v>
      </c>
      <c r="O15" s="8">
        <f t="shared" si="7"/>
        <v>0.8925</v>
      </c>
      <c r="P15" s="8">
        <f t="shared" si="7"/>
        <v>0.8925</v>
      </c>
      <c r="Q15" s="8">
        <f t="shared" si="7"/>
        <v>0.8925</v>
      </c>
      <c r="R15" s="6" t="s">
        <v>6</v>
      </c>
    </row>
    <row r="16" ht="15.75" customHeight="1">
      <c r="B16" s="2" t="s">
        <v>11</v>
      </c>
      <c r="H16" s="8">
        <f t="shared" ref="H16:Q16" si="8">H14/H15</f>
        <v>3.109932867</v>
      </c>
      <c r="I16" s="8">
        <f t="shared" si="8"/>
        <v>4.16110266</v>
      </c>
      <c r="J16" s="8">
        <f t="shared" si="8"/>
        <v>4.654918997</v>
      </c>
      <c r="K16" s="8">
        <f t="shared" si="8"/>
        <v>2.767607012</v>
      </c>
      <c r="L16" s="8">
        <f t="shared" si="8"/>
        <v>2.921362957</v>
      </c>
      <c r="M16" s="8">
        <f t="shared" si="8"/>
        <v>-1.422242492</v>
      </c>
      <c r="N16" s="8">
        <f t="shared" si="8"/>
        <v>0.2730705585</v>
      </c>
      <c r="O16" s="8">
        <f t="shared" si="8"/>
        <v>1.529195128</v>
      </c>
      <c r="P16" s="8">
        <f t="shared" si="8"/>
        <v>2.237212472</v>
      </c>
      <c r="Q16" s="8">
        <f t="shared" si="8"/>
        <v>2.607950538</v>
      </c>
      <c r="R16" s="6" t="s">
        <v>6</v>
      </c>
    </row>
    <row r="17" ht="15.75" customHeight="1">
      <c r="F17" s="12" t="s">
        <v>12</v>
      </c>
      <c r="G17" s="13"/>
      <c r="H17" s="14">
        <f>H14/(1+$B$29)</f>
        <v>2.579609637</v>
      </c>
      <c r="I17" s="14">
        <f>I14/(1+$B$29)^2</f>
        <v>3.207791696</v>
      </c>
      <c r="J17" s="14">
        <f>J14/(1+$B$29)^3</f>
        <v>3.335067344</v>
      </c>
      <c r="K17" s="14">
        <f>K14/(1+$B$29)^4</f>
        <v>1.842857073</v>
      </c>
      <c r="L17" s="14">
        <f>L14/(1+$B$29)^5</f>
        <v>1.807871263</v>
      </c>
      <c r="M17" s="14">
        <f>M14/(1+$B$29)^6</f>
        <v>-0.8179945024</v>
      </c>
      <c r="N17" s="14">
        <f>N14/(1+$B$29)^7</f>
        <v>0.1459642047</v>
      </c>
      <c r="O17" s="14">
        <f>O14/(1+$B$29)^8</f>
        <v>0.7596772905</v>
      </c>
      <c r="P17" s="14">
        <f>P14/(1+$B$29)^9</f>
        <v>1.032923651</v>
      </c>
      <c r="Q17" s="14">
        <f>Q14/(1+$B$29)^10</f>
        <v>1.119064431</v>
      </c>
      <c r="R17" s="15">
        <f>(R14/(B29-R11))/(1+B29)^10</f>
        <v>17.8246813</v>
      </c>
    </row>
    <row r="18" ht="15.75" customHeight="1"/>
    <row r="19" ht="15.75" customHeight="1">
      <c r="A19" s="16" t="s">
        <v>13</v>
      </c>
      <c r="B19" s="17"/>
    </row>
    <row r="20" ht="15.75" customHeight="1">
      <c r="B20" s="18"/>
    </row>
    <row r="21" ht="15.75" customHeight="1">
      <c r="A21" s="2" t="s">
        <v>14</v>
      </c>
      <c r="B21" s="20">
        <f>Optimistisch!B21</f>
        <v>0.02398</v>
      </c>
    </row>
    <row r="22" ht="15.75" customHeight="1">
      <c r="B22" s="18"/>
    </row>
    <row r="23" ht="15.75" customHeight="1">
      <c r="A23" s="2" t="s">
        <v>15</v>
      </c>
      <c r="B23" s="20">
        <f>(B25-B21)*B27</f>
        <v>0.0520026</v>
      </c>
    </row>
    <row r="24" ht="15.75" customHeight="1">
      <c r="B24" s="18"/>
    </row>
    <row r="25" ht="15.75" customHeight="1">
      <c r="A25" s="2" t="s">
        <v>16</v>
      </c>
      <c r="B25" s="20">
        <f>Optimistisch!B25</f>
        <v>0.07</v>
      </c>
    </row>
    <row r="26" ht="15.75" customHeight="1">
      <c r="B26" s="18"/>
    </row>
    <row r="27" ht="15.75" customHeight="1">
      <c r="A27" s="2" t="s">
        <v>17</v>
      </c>
      <c r="B27" s="21">
        <f>Optimistisch!B27</f>
        <v>1.13</v>
      </c>
    </row>
    <row r="28" ht="15.75" customHeight="1">
      <c r="B28" s="18"/>
    </row>
    <row r="29" ht="15.75" customHeight="1">
      <c r="A29" s="22" t="s">
        <v>18</v>
      </c>
      <c r="B29" s="23">
        <f>B21+(B25-B21)*B27</f>
        <v>0.0759826</v>
      </c>
    </row>
    <row r="30" ht="15.75" customHeight="1"/>
    <row r="31" ht="15.75" customHeight="1">
      <c r="A31" s="3"/>
      <c r="B31" s="3"/>
      <c r="C31" s="24">
        <f>Optimistisch!C31</f>
        <v>45387</v>
      </c>
      <c r="D31" s="25" t="s">
        <v>19</v>
      </c>
    </row>
    <row r="32" ht="15.75" customHeight="1">
      <c r="A32" s="5" t="s">
        <v>20</v>
      </c>
      <c r="B32" s="5" t="s">
        <v>21</v>
      </c>
      <c r="C32" s="8">
        <f>C33*C34</f>
        <v>48.043275</v>
      </c>
      <c r="D32" s="8">
        <f>SUM(H17:R17)</f>
        <v>32.83751339</v>
      </c>
    </row>
    <row r="33" ht="15.75" customHeight="1">
      <c r="A33" s="5"/>
      <c r="B33" s="5" t="s">
        <v>22</v>
      </c>
      <c r="C33" s="8">
        <f>Optimistisch!C33</f>
        <v>0.8925</v>
      </c>
      <c r="D33" s="8">
        <f>C33</f>
        <v>0.8925</v>
      </c>
    </row>
    <row r="34" ht="15.75" customHeight="1">
      <c r="A34" s="5"/>
      <c r="B34" s="5" t="s">
        <v>23</v>
      </c>
      <c r="C34" s="8">
        <f>Optimistisch!C34</f>
        <v>53.83</v>
      </c>
      <c r="D34" s="8">
        <f>D32/D33</f>
        <v>36.79273209</v>
      </c>
    </row>
    <row r="35" ht="15.75" customHeight="1">
      <c r="A35" s="5"/>
      <c r="B35" s="5" t="s">
        <v>24</v>
      </c>
      <c r="C35" s="5"/>
      <c r="D35" s="11">
        <f>IF(C34/D34-1&gt;0,0,C34/D34-1)*-1</f>
        <v>0</v>
      </c>
    </row>
    <row r="36" ht="15.75" customHeight="1">
      <c r="A36" s="5"/>
      <c r="B36" s="5" t="s">
        <v>25</v>
      </c>
      <c r="C36" s="5"/>
      <c r="D36" s="11">
        <f>IF(C34/D34-1&lt;0,0,C34/D34-1)</f>
        <v>0.4630606902</v>
      </c>
    </row>
    <row r="37" ht="15.75" customHeight="1">
      <c r="A37" s="27"/>
      <c r="B37" s="27"/>
      <c r="C37" s="27"/>
      <c r="D37" s="27"/>
    </row>
    <row r="38" ht="15.75" customHeight="1">
      <c r="A38" s="28" t="s">
        <v>26</v>
      </c>
      <c r="B38" s="29"/>
      <c r="C38" s="29"/>
      <c r="D38" s="17"/>
    </row>
    <row r="39" ht="15.75" customHeight="1">
      <c r="A39" s="30"/>
      <c r="D39" s="18"/>
    </row>
    <row r="40" ht="15.75" customHeight="1">
      <c r="A40" s="30" t="str">
        <f>"KGV in "&amp;Q9&amp;":"</f>
        <v>KGV in 2033:</v>
      </c>
      <c r="D40" s="21">
        <v>11.0</v>
      </c>
    </row>
    <row r="41" ht="15.75" customHeight="1">
      <c r="A41" s="30"/>
      <c r="D41" s="18"/>
    </row>
    <row r="42" ht="15.75" customHeight="1">
      <c r="A42" s="30" t="str">
        <f>"Aktienkurs in "&amp;Q9&amp;":"</f>
        <v>Aktienkurs in 2033:</v>
      </c>
      <c r="D42" s="21">
        <f>Q16*D40</f>
        <v>28.68745592</v>
      </c>
    </row>
    <row r="43" ht="15.75" customHeight="1">
      <c r="A43" s="30"/>
      <c r="D43" s="18"/>
    </row>
    <row r="44" ht="15.75" customHeight="1">
      <c r="A44" s="30" t="s">
        <v>27</v>
      </c>
      <c r="D44" s="20">
        <v>0.5</v>
      </c>
    </row>
    <row r="45" ht="15.75" customHeight="1">
      <c r="A45" s="30"/>
      <c r="D45" s="18"/>
    </row>
    <row r="46" ht="15.75" customHeight="1">
      <c r="A46" s="30" t="s">
        <v>28</v>
      </c>
      <c r="D46" s="21">
        <f>D44*SUM(H16:Q16)</f>
        <v>11.42005535</v>
      </c>
    </row>
    <row r="47" ht="15.75" customHeight="1">
      <c r="A47" s="30"/>
      <c r="D47" s="18"/>
    </row>
    <row r="48" ht="15.75" customHeight="1">
      <c r="A48" s="30" t="s">
        <v>29</v>
      </c>
      <c r="D48" s="20">
        <f>Optimistisch!D48</f>
        <v>0</v>
      </c>
    </row>
    <row r="49" ht="15.75" customHeight="1">
      <c r="A49" s="30"/>
      <c r="D49" s="18"/>
    </row>
    <row r="50" ht="15.75" customHeight="1">
      <c r="A50" s="30" t="str">
        <f>"Gesamtwert "&amp;Q9</f>
        <v>Gesamtwert 2033</v>
      </c>
      <c r="D50" s="21">
        <f>D42+D46*(1-D48)</f>
        <v>40.10751127</v>
      </c>
    </row>
    <row r="51" ht="15.75" customHeight="1">
      <c r="A51" s="30"/>
      <c r="D51" s="18"/>
    </row>
    <row r="52" ht="15.75" customHeight="1">
      <c r="A52" s="30" t="str">
        <f>"Steigerung bis "&amp;Q9</f>
        <v>Steigerung bis 2033</v>
      </c>
      <c r="D52" s="20">
        <f>D50/C34-1</f>
        <v>-0.2549226961</v>
      </c>
    </row>
    <row r="53" ht="15.75" customHeight="1">
      <c r="A53" s="30"/>
      <c r="D53" s="18"/>
    </row>
    <row r="54" ht="15.75" customHeight="1">
      <c r="A54" s="31" t="str">
        <f>"Renditeerwartung bis "&amp;Q9&amp;" pro Jahr"</f>
        <v>Renditeerwartung bis 2033 pro Jahr</v>
      </c>
      <c r="B54" s="32"/>
      <c r="C54" s="32"/>
      <c r="D54" s="33">
        <f>(D50/C34)^(1/10)-1</f>
        <v>-0.02899797987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7" right="0.7" top="0.7874015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17.44"/>
    <col customWidth="1" min="2" max="2" width="27.22"/>
    <col customWidth="1" min="3" max="18" width="10.33"/>
    <col customWidth="1" min="19" max="26" width="8.33"/>
  </cols>
  <sheetData>
    <row r="1" ht="15.75" customHeight="1"/>
    <row r="2" ht="15.75" customHeight="1">
      <c r="B2" s="1" t="s">
        <v>0</v>
      </c>
    </row>
    <row r="3" ht="15.75" customHeight="1"/>
    <row r="4" ht="15.75" customHeight="1">
      <c r="B4" s="2" t="str">
        <f>Optimistisch!B4</f>
        <v>Annahmen für BASF</v>
      </c>
    </row>
    <row r="5" ht="15.75" customHeight="1"/>
    <row r="6" ht="15.75" customHeight="1">
      <c r="B6" s="2" t="str">
        <f>Optimistisch!B6</f>
        <v>Alle Angaben in Mrd.</v>
      </c>
    </row>
    <row r="7" ht="15.75" customHeight="1"/>
    <row r="8" ht="15.75" customHeight="1">
      <c r="A8" s="3"/>
      <c r="B8" s="3"/>
      <c r="C8" s="3"/>
      <c r="D8" s="3"/>
      <c r="E8" s="3"/>
      <c r="F8" s="3"/>
      <c r="G8" s="3"/>
      <c r="H8" s="4" t="s">
        <v>3</v>
      </c>
      <c r="I8" s="3"/>
      <c r="J8" s="3"/>
      <c r="K8" s="3"/>
      <c r="L8" s="3"/>
      <c r="M8" s="3"/>
      <c r="N8" s="3"/>
      <c r="O8" s="3"/>
      <c r="P8" s="3"/>
      <c r="Q8" s="3"/>
      <c r="R8" s="3"/>
    </row>
    <row r="9" ht="15.75" customHeight="1">
      <c r="C9" s="2">
        <f>Optimistisch!C9</f>
        <v>2019</v>
      </c>
      <c r="D9" s="2">
        <f t="shared" ref="D9:Q9" si="1">C9+1</f>
        <v>2020</v>
      </c>
      <c r="E9" s="2">
        <f t="shared" si="1"/>
        <v>2021</v>
      </c>
      <c r="F9" s="2">
        <f t="shared" si="1"/>
        <v>2022</v>
      </c>
      <c r="G9" s="2">
        <f t="shared" si="1"/>
        <v>2023</v>
      </c>
      <c r="H9" s="5">
        <f t="shared" si="1"/>
        <v>2024</v>
      </c>
      <c r="I9" s="5">
        <f t="shared" si="1"/>
        <v>2025</v>
      </c>
      <c r="J9" s="5">
        <f t="shared" si="1"/>
        <v>2026</v>
      </c>
      <c r="K9" s="5">
        <f t="shared" si="1"/>
        <v>2027</v>
      </c>
      <c r="L9" s="5">
        <f t="shared" si="1"/>
        <v>2028</v>
      </c>
      <c r="M9" s="5">
        <f t="shared" si="1"/>
        <v>2029</v>
      </c>
      <c r="N9" s="5">
        <f t="shared" si="1"/>
        <v>2030</v>
      </c>
      <c r="O9" s="5">
        <f t="shared" si="1"/>
        <v>2031</v>
      </c>
      <c r="P9" s="5">
        <f t="shared" si="1"/>
        <v>2032</v>
      </c>
      <c r="Q9" s="5">
        <f t="shared" si="1"/>
        <v>2033</v>
      </c>
      <c r="R9" s="6" t="str">
        <f>Q9+1&amp;"ff."</f>
        <v>2034ff.</v>
      </c>
    </row>
    <row r="10" ht="15.75" customHeight="1">
      <c r="B10" s="2" t="s">
        <v>4</v>
      </c>
      <c r="C10" s="7">
        <f>Optimistisch!C10</f>
        <v>59.316</v>
      </c>
      <c r="D10" s="7">
        <f>Optimistisch!D10</f>
        <v>59.149</v>
      </c>
      <c r="E10" s="7">
        <f>Optimistisch!E10</f>
        <v>78.598</v>
      </c>
      <c r="F10" s="7">
        <f>Optimistisch!F10</f>
        <v>87.327</v>
      </c>
      <c r="G10" s="7">
        <f>Optimistisch!G10</f>
        <v>68.902</v>
      </c>
      <c r="H10" s="8">
        <f t="shared" ref="H10:R10" si="2">G10*(1+H11)</f>
        <v>72.932767</v>
      </c>
      <c r="I10" s="8">
        <f t="shared" si="2"/>
        <v>77.19933387</v>
      </c>
      <c r="J10" s="8">
        <f t="shared" si="2"/>
        <v>81.7154949</v>
      </c>
      <c r="K10" s="8">
        <f t="shared" si="2"/>
        <v>86.49585135</v>
      </c>
      <c r="L10" s="8">
        <f t="shared" si="2"/>
        <v>91.55585866</v>
      </c>
      <c r="M10" s="8">
        <f t="shared" si="2"/>
        <v>96.91187639</v>
      </c>
      <c r="N10" s="8">
        <f t="shared" si="2"/>
        <v>102.5812212</v>
      </c>
      <c r="O10" s="8">
        <f t="shared" si="2"/>
        <v>108.5822226</v>
      </c>
      <c r="P10" s="8">
        <f t="shared" si="2"/>
        <v>114.9342826</v>
      </c>
      <c r="Q10" s="8">
        <f t="shared" si="2"/>
        <v>121.6579381</v>
      </c>
      <c r="R10" s="8">
        <f t="shared" si="2"/>
        <v>122.8745175</v>
      </c>
    </row>
    <row r="11" ht="15.75" customHeight="1">
      <c r="B11" s="2" t="s">
        <v>5</v>
      </c>
      <c r="C11" s="9" t="s">
        <v>6</v>
      </c>
      <c r="D11" s="10">
        <f t="shared" ref="D11:G11" si="3">D10/C10-1</f>
        <v>-0.002815429227</v>
      </c>
      <c r="E11" s="10">
        <f t="shared" si="3"/>
        <v>0.3288136739</v>
      </c>
      <c r="F11" s="10">
        <f t="shared" si="3"/>
        <v>0.1110588056</v>
      </c>
      <c r="G11" s="10">
        <f t="shared" si="3"/>
        <v>-0.2109885831</v>
      </c>
      <c r="H11" s="11">
        <v>0.0585</v>
      </c>
      <c r="I11" s="11">
        <f t="shared" ref="I11:Q11" si="4">$H$11</f>
        <v>0.0585</v>
      </c>
      <c r="J11" s="11">
        <f t="shared" si="4"/>
        <v>0.0585</v>
      </c>
      <c r="K11" s="11">
        <f t="shared" si="4"/>
        <v>0.0585</v>
      </c>
      <c r="L11" s="11">
        <f t="shared" si="4"/>
        <v>0.0585</v>
      </c>
      <c r="M11" s="11">
        <f t="shared" si="4"/>
        <v>0.0585</v>
      </c>
      <c r="N11" s="11">
        <f t="shared" si="4"/>
        <v>0.0585</v>
      </c>
      <c r="O11" s="11">
        <f t="shared" si="4"/>
        <v>0.0585</v>
      </c>
      <c r="P11" s="11">
        <f t="shared" si="4"/>
        <v>0.0585</v>
      </c>
      <c r="Q11" s="11">
        <f t="shared" si="4"/>
        <v>0.0585</v>
      </c>
      <c r="R11" s="11">
        <f>Optimistisch!R11</f>
        <v>0.01</v>
      </c>
    </row>
    <row r="12" ht="15.75" customHeight="1">
      <c r="B12" s="2" t="s">
        <v>7</v>
      </c>
      <c r="C12" s="10">
        <f t="shared" ref="C12:G12" si="5">C13/C10</f>
        <v>0.07082406096</v>
      </c>
      <c r="D12" s="10">
        <f t="shared" si="5"/>
        <v>-0.003229133206</v>
      </c>
      <c r="E12" s="10">
        <f t="shared" si="5"/>
        <v>0.09767424107</v>
      </c>
      <c r="F12" s="10">
        <f t="shared" si="5"/>
        <v>0.0749825369</v>
      </c>
      <c r="G12" s="10">
        <f t="shared" si="5"/>
        <v>0.03250994166</v>
      </c>
      <c r="H12" s="11">
        <f>Optimistisch!H12</f>
        <v>0.03645589472</v>
      </c>
      <c r="I12" s="11">
        <f>Optimistisch!I12</f>
        <v>0.04305211477</v>
      </c>
      <c r="J12" s="11">
        <f>Optimistisch!J12</f>
        <v>0.04517232835</v>
      </c>
      <c r="K12" s="11">
        <f>Optimistisch!K12</f>
        <v>0.0475</v>
      </c>
      <c r="L12" s="11">
        <f>Optimistisch!L12</f>
        <v>0.0525</v>
      </c>
      <c r="M12" s="11">
        <f>Optimistisch!M12</f>
        <v>-0.005</v>
      </c>
      <c r="N12" s="11">
        <f>Optimistisch!N12</f>
        <v>0.01</v>
      </c>
      <c r="O12" s="11">
        <f>Optimistisch!O12</f>
        <v>0.05</v>
      </c>
      <c r="P12" s="11">
        <f>Optimistisch!P12</f>
        <v>0.055</v>
      </c>
      <c r="Q12" s="11">
        <f>Optimistisch!Q12</f>
        <v>0.055</v>
      </c>
      <c r="R12" s="11">
        <f>Optimistisch!R12</f>
        <v>0.045</v>
      </c>
    </row>
    <row r="13" ht="15.75" customHeight="1">
      <c r="B13" s="2" t="s">
        <v>8</v>
      </c>
      <c r="C13" s="7">
        <f>Optimistisch!C13</f>
        <v>4.201</v>
      </c>
      <c r="D13" s="7">
        <f>Optimistisch!D13</f>
        <v>-0.191</v>
      </c>
      <c r="E13" s="7">
        <f>Optimistisch!E13</f>
        <v>7.677</v>
      </c>
      <c r="F13" s="7">
        <f>Optimistisch!F13</f>
        <v>6.548</v>
      </c>
      <c r="G13" s="7">
        <f>Optimistisch!G13</f>
        <v>2.24</v>
      </c>
      <c r="H13" s="8">
        <f t="shared" ref="H13:R13" si="6">H10*H12</f>
        <v>2.658829275</v>
      </c>
      <c r="I13" s="8">
        <f t="shared" si="6"/>
        <v>3.323594582</v>
      </c>
      <c r="J13" s="8">
        <f t="shared" si="6"/>
        <v>3.691279167</v>
      </c>
      <c r="K13" s="8">
        <f t="shared" si="6"/>
        <v>4.108552939</v>
      </c>
      <c r="L13" s="8">
        <f t="shared" si="6"/>
        <v>4.806682579</v>
      </c>
      <c r="M13" s="8">
        <f t="shared" si="6"/>
        <v>-0.4845593819</v>
      </c>
      <c r="N13" s="8">
        <f t="shared" si="6"/>
        <v>1.025812212</v>
      </c>
      <c r="O13" s="8">
        <f t="shared" si="6"/>
        <v>5.42911113</v>
      </c>
      <c r="P13" s="8">
        <f t="shared" si="6"/>
        <v>6.321385544</v>
      </c>
      <c r="Q13" s="8">
        <f t="shared" si="6"/>
        <v>6.691186598</v>
      </c>
      <c r="R13" s="8">
        <f t="shared" si="6"/>
        <v>5.529353289</v>
      </c>
    </row>
    <row r="14" ht="15.75" customHeight="1">
      <c r="A14" s="11">
        <f>Optimistisch!A14</f>
        <v>0.25</v>
      </c>
      <c r="B14" s="2" t="s">
        <v>9</v>
      </c>
      <c r="C14" s="7">
        <f>Optimistisch!C14</f>
        <v>8.421</v>
      </c>
      <c r="D14" s="7">
        <f>Optimistisch!D14</f>
        <v>-1.06</v>
      </c>
      <c r="E14" s="7">
        <f>Optimistisch!E14</f>
        <v>5.523</v>
      </c>
      <c r="F14" s="7">
        <f>Optimistisch!F14</f>
        <v>-0.627</v>
      </c>
      <c r="G14" s="7">
        <f>Optimistisch!G14</f>
        <v>0.225</v>
      </c>
      <c r="H14" s="8">
        <f t="shared" ref="H14:R14" si="7">H13*(1-$A$14)</f>
        <v>1.994121957</v>
      </c>
      <c r="I14" s="8">
        <f t="shared" si="7"/>
        <v>2.492695936</v>
      </c>
      <c r="J14" s="8">
        <f t="shared" si="7"/>
        <v>2.768459375</v>
      </c>
      <c r="K14" s="8">
        <f t="shared" si="7"/>
        <v>3.081414704</v>
      </c>
      <c r="L14" s="8">
        <f t="shared" si="7"/>
        <v>3.605011935</v>
      </c>
      <c r="M14" s="8">
        <f t="shared" si="7"/>
        <v>-0.3634195365</v>
      </c>
      <c r="N14" s="8">
        <f t="shared" si="7"/>
        <v>0.7693591587</v>
      </c>
      <c r="O14" s="8">
        <f t="shared" si="7"/>
        <v>4.071833347</v>
      </c>
      <c r="P14" s="8">
        <f t="shared" si="7"/>
        <v>4.741039158</v>
      </c>
      <c r="Q14" s="8">
        <f t="shared" si="7"/>
        <v>5.018389949</v>
      </c>
      <c r="R14" s="8">
        <f t="shared" si="7"/>
        <v>4.147014967</v>
      </c>
    </row>
    <row r="15" ht="15.75" customHeight="1">
      <c r="A15" s="11">
        <f>Optimistisch!A15</f>
        <v>0.99</v>
      </c>
      <c r="B15" s="2" t="s">
        <v>10</v>
      </c>
      <c r="H15" s="8">
        <f>C33</f>
        <v>0.8925</v>
      </c>
      <c r="I15" s="8">
        <f t="shared" ref="I15:Q15" si="8">H15*$A$15</f>
        <v>0.883575</v>
      </c>
      <c r="J15" s="8">
        <f t="shared" si="8"/>
        <v>0.87473925</v>
      </c>
      <c r="K15" s="8">
        <f t="shared" si="8"/>
        <v>0.8659918575</v>
      </c>
      <c r="L15" s="8">
        <f t="shared" si="8"/>
        <v>0.8573319389</v>
      </c>
      <c r="M15" s="8">
        <f t="shared" si="8"/>
        <v>0.8487586195</v>
      </c>
      <c r="N15" s="8">
        <f t="shared" si="8"/>
        <v>0.8402710333</v>
      </c>
      <c r="O15" s="8">
        <f t="shared" si="8"/>
        <v>0.831868323</v>
      </c>
      <c r="P15" s="8">
        <f t="shared" si="8"/>
        <v>0.8235496398</v>
      </c>
      <c r="Q15" s="8">
        <f t="shared" si="8"/>
        <v>0.8153141434</v>
      </c>
      <c r="R15" s="6" t="s">
        <v>6</v>
      </c>
    </row>
    <row r="16" ht="15.75" customHeight="1">
      <c r="B16" s="2" t="s">
        <v>11</v>
      </c>
      <c r="H16" s="8">
        <f t="shared" ref="H16:Q16" si="9">H14/H15</f>
        <v>2.234310315</v>
      </c>
      <c r="I16" s="8">
        <f t="shared" si="9"/>
        <v>2.821148104</v>
      </c>
      <c r="J16" s="8">
        <f t="shared" si="9"/>
        <v>3.164896711</v>
      </c>
      <c r="K16" s="8">
        <f t="shared" si="9"/>
        <v>3.55824905</v>
      </c>
      <c r="L16" s="8">
        <f t="shared" si="9"/>
        <v>4.204919671</v>
      </c>
      <c r="M16" s="8">
        <f t="shared" si="9"/>
        <v>-0.428177727</v>
      </c>
      <c r="N16" s="8">
        <f t="shared" si="9"/>
        <v>0.9156083313</v>
      </c>
      <c r="O16" s="8">
        <f t="shared" si="9"/>
        <v>4.894805145</v>
      </c>
      <c r="P16" s="8">
        <f t="shared" si="9"/>
        <v>5.756834718</v>
      </c>
      <c r="Q16" s="8">
        <f t="shared" si="9"/>
        <v>6.15516116</v>
      </c>
      <c r="R16" s="6" t="s">
        <v>6</v>
      </c>
    </row>
    <row r="17" ht="15.75" customHeight="1">
      <c r="F17" s="12" t="s">
        <v>12</v>
      </c>
      <c r="G17" s="13"/>
      <c r="H17" s="14">
        <f>H14/(1+$B$29)</f>
        <v>1.853303164</v>
      </c>
      <c r="I17" s="14">
        <f>I14/(1+$B$29)^2</f>
        <v>2.153073269</v>
      </c>
      <c r="J17" s="14">
        <f>J14/(1+$B$29)^3</f>
        <v>2.22240093</v>
      </c>
      <c r="K17" s="14">
        <f>K14/(1+$B$29)^4</f>
        <v>2.29894805</v>
      </c>
      <c r="L17" s="14">
        <f>L14/(1+$B$29)^5</f>
        <v>2.499657265</v>
      </c>
      <c r="M17" s="14">
        <f>M14/(1+$B$29)^6</f>
        <v>-0.2341945479</v>
      </c>
      <c r="N17" s="14">
        <f>N14/(1+$B$29)^7</f>
        <v>0.4607786946</v>
      </c>
      <c r="O17" s="14">
        <f>O14/(1+$B$29)^8</f>
        <v>2.266459738</v>
      </c>
      <c r="P17" s="14">
        <f>P14/(1+$B$29)^9</f>
        <v>2.452597649</v>
      </c>
      <c r="Q17" s="14">
        <f>Q14/(1+$B$29)^10</f>
        <v>2.412747763</v>
      </c>
      <c r="R17" s="15">
        <f>(R14/(B29-R11))/(1+B29)^10</f>
        <v>30.21716355</v>
      </c>
    </row>
    <row r="18" ht="15.75" customHeight="1"/>
    <row r="19" ht="15.75" customHeight="1">
      <c r="A19" s="16" t="s">
        <v>13</v>
      </c>
      <c r="B19" s="17"/>
    </row>
    <row r="20" ht="15.75" customHeight="1">
      <c r="B20" s="18"/>
    </row>
    <row r="21" ht="15.75" customHeight="1">
      <c r="A21" s="2" t="s">
        <v>14</v>
      </c>
      <c r="B21" s="20">
        <f>Optimistisch!B21</f>
        <v>0.02398</v>
      </c>
    </row>
    <row r="22" ht="15.75" customHeight="1">
      <c r="B22" s="18"/>
    </row>
    <row r="23" ht="15.75" customHeight="1">
      <c r="A23" s="2" t="s">
        <v>15</v>
      </c>
      <c r="B23" s="20">
        <f>(B25-B21)*B27</f>
        <v>0.0520026</v>
      </c>
    </row>
    <row r="24" ht="15.75" customHeight="1">
      <c r="B24" s="18"/>
    </row>
    <row r="25" ht="15.75" customHeight="1">
      <c r="A25" s="2" t="s">
        <v>16</v>
      </c>
      <c r="B25" s="20">
        <f>Optimistisch!B25</f>
        <v>0.07</v>
      </c>
    </row>
    <row r="26" ht="15.75" customHeight="1">
      <c r="B26" s="18"/>
    </row>
    <row r="27" ht="15.75" customHeight="1">
      <c r="A27" s="2" t="s">
        <v>17</v>
      </c>
      <c r="B27" s="21">
        <f>Optimistisch!B27</f>
        <v>1.13</v>
      </c>
    </row>
    <row r="28" ht="15.75" customHeight="1">
      <c r="B28" s="18"/>
    </row>
    <row r="29" ht="15.75" customHeight="1">
      <c r="A29" s="22" t="s">
        <v>18</v>
      </c>
      <c r="B29" s="23">
        <f>B21+(B25-B21)*B27</f>
        <v>0.0759826</v>
      </c>
    </row>
    <row r="30" ht="15.75" customHeight="1"/>
    <row r="31" ht="15.75" customHeight="1">
      <c r="A31" s="3"/>
      <c r="B31" s="3"/>
      <c r="C31" s="24">
        <f>Optimistisch!C31</f>
        <v>45387</v>
      </c>
      <c r="D31" s="25" t="s">
        <v>19</v>
      </c>
    </row>
    <row r="32" ht="15.75" customHeight="1">
      <c r="A32" s="5" t="s">
        <v>20</v>
      </c>
      <c r="B32" s="5" t="s">
        <v>21</v>
      </c>
      <c r="C32" s="8">
        <f>C33*C34</f>
        <v>48.043275</v>
      </c>
      <c r="D32" s="8">
        <f>SUM(H17:R17)</f>
        <v>48.60293552</v>
      </c>
    </row>
    <row r="33" ht="15.75" customHeight="1">
      <c r="A33" s="5"/>
      <c r="B33" s="5" t="s">
        <v>22</v>
      </c>
      <c r="C33" s="8">
        <f>Optimistisch!C33</f>
        <v>0.8925</v>
      </c>
      <c r="D33" s="8">
        <f>C33</f>
        <v>0.8925</v>
      </c>
    </row>
    <row r="34" ht="15.75" customHeight="1">
      <c r="A34" s="5"/>
      <c r="B34" s="5" t="s">
        <v>23</v>
      </c>
      <c r="C34" s="8">
        <f>Optimistisch!C34</f>
        <v>53.83</v>
      </c>
      <c r="D34" s="8">
        <f>D32/D33</f>
        <v>54.45707061</v>
      </c>
    </row>
    <row r="35" ht="15.75" customHeight="1">
      <c r="A35" s="5"/>
      <c r="B35" s="5" t="s">
        <v>24</v>
      </c>
      <c r="C35" s="5"/>
      <c r="D35" s="11">
        <f>IF(C34/D34-1&gt;0,0,C34/D34-1)*-1</f>
        <v>0.01151495306</v>
      </c>
    </row>
    <row r="36" ht="15.75" customHeight="1">
      <c r="A36" s="5"/>
      <c r="B36" s="5" t="s">
        <v>25</v>
      </c>
      <c r="C36" s="5"/>
      <c r="D36" s="11">
        <f>IF(C34/D34-1&lt;0,0,C34/D34-1)</f>
        <v>0</v>
      </c>
    </row>
    <row r="37" ht="15.75" customHeight="1">
      <c r="A37" s="27"/>
      <c r="B37" s="27"/>
      <c r="C37" s="27"/>
      <c r="D37" s="27"/>
    </row>
    <row r="38" ht="15.75" customHeight="1">
      <c r="A38" s="28" t="s">
        <v>26</v>
      </c>
      <c r="B38" s="29"/>
      <c r="C38" s="29"/>
      <c r="D38" s="17"/>
    </row>
    <row r="39" ht="15.75" customHeight="1">
      <c r="A39" s="30"/>
      <c r="D39" s="18"/>
    </row>
    <row r="40" ht="15.75" customHeight="1">
      <c r="A40" s="30" t="str">
        <f>"KGV in "&amp;Q9&amp;":"</f>
        <v>KGV in 2033:</v>
      </c>
      <c r="D40" s="21">
        <v>22.0</v>
      </c>
    </row>
    <row r="41" ht="15.75" customHeight="1">
      <c r="A41" s="30"/>
      <c r="D41" s="18"/>
    </row>
    <row r="42" ht="15.75" customHeight="1">
      <c r="A42" s="30" t="str">
        <f>"Aktienkurs in "&amp;Q9&amp;":"</f>
        <v>Aktienkurs in 2033:</v>
      </c>
      <c r="D42" s="21">
        <f>Q16*D40</f>
        <v>135.4135455</v>
      </c>
    </row>
    <row r="43" ht="15.75" customHeight="1">
      <c r="A43" s="30"/>
      <c r="D43" s="18"/>
    </row>
    <row r="44" ht="15.75" customHeight="1">
      <c r="A44" s="30" t="s">
        <v>27</v>
      </c>
      <c r="D44" s="20">
        <f>Optimistisch!D44</f>
        <v>0.6</v>
      </c>
    </row>
    <row r="45" ht="15.75" customHeight="1">
      <c r="A45" s="30"/>
      <c r="D45" s="18"/>
    </row>
    <row r="46" ht="15.75" customHeight="1">
      <c r="A46" s="30" t="s">
        <v>28</v>
      </c>
      <c r="D46" s="21">
        <f>D44*SUM(H16:Q16)</f>
        <v>19.96665329</v>
      </c>
    </row>
    <row r="47" ht="15.75" customHeight="1">
      <c r="A47" s="30"/>
      <c r="D47" s="18"/>
    </row>
    <row r="48" ht="15.75" customHeight="1">
      <c r="A48" s="30" t="s">
        <v>29</v>
      </c>
      <c r="D48" s="20">
        <f>Optimistisch!D48</f>
        <v>0</v>
      </c>
    </row>
    <row r="49" ht="15.75" customHeight="1">
      <c r="A49" s="30"/>
      <c r="D49" s="18"/>
    </row>
    <row r="50" ht="15.75" customHeight="1">
      <c r="A50" s="30" t="str">
        <f>"Gesamtwert "&amp;Q9</f>
        <v>Gesamtwert 2033</v>
      </c>
      <c r="D50" s="21">
        <f>D42+D46*(1-D48)</f>
        <v>155.3801988</v>
      </c>
    </row>
    <row r="51" ht="15.75" customHeight="1">
      <c r="A51" s="30"/>
      <c r="D51" s="18"/>
    </row>
    <row r="52" ht="15.75" customHeight="1">
      <c r="A52" s="30" t="str">
        <f>"Steigerung bis "&amp;Q9</f>
        <v>Steigerung bis 2033</v>
      </c>
      <c r="D52" s="20">
        <f>D50/C34-1</f>
        <v>1.886498213</v>
      </c>
    </row>
    <row r="53" ht="15.75" customHeight="1">
      <c r="A53" s="30"/>
      <c r="D53" s="18"/>
    </row>
    <row r="54" ht="15.75" customHeight="1">
      <c r="A54" s="31" t="str">
        <f>"Renditeerwartung bis "&amp;Q9&amp;" pro Jahr"</f>
        <v>Renditeerwartung bis 2033 pro Jahr</v>
      </c>
      <c r="B54" s="32"/>
      <c r="C54" s="32"/>
      <c r="D54" s="33">
        <f>(D50/C34)^(1/10)-1</f>
        <v>0.111826777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7" right="0.7" top="0.7874015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17.44"/>
    <col customWidth="1" min="2" max="2" width="27.22"/>
    <col customWidth="1" min="3" max="14" width="10.33"/>
    <col customWidth="1" hidden="1" min="15" max="18" width="10.33"/>
    <col customWidth="1" min="19" max="26" width="8.33"/>
  </cols>
  <sheetData>
    <row r="1" ht="15.75" customHeight="1"/>
    <row r="2" ht="15.75" customHeight="1">
      <c r="B2" s="1" t="s">
        <v>30</v>
      </c>
    </row>
    <row r="3" ht="15.75" customHeight="1"/>
    <row r="4" ht="15.75" customHeight="1">
      <c r="B4" s="2" t="str">
        <f>Optimistisch!B4</f>
        <v>Annahmen für BASF</v>
      </c>
    </row>
    <row r="5" ht="15.75" customHeight="1"/>
    <row r="6" ht="15.75" customHeight="1">
      <c r="B6" s="2" t="str">
        <f>Optimistisch!B6</f>
        <v>Alle Angaben in Mrd.</v>
      </c>
    </row>
    <row r="7" ht="15.75" customHeight="1"/>
    <row r="8" ht="15.75" customHeight="1">
      <c r="A8" s="3"/>
      <c r="B8" s="3"/>
      <c r="C8" s="3"/>
      <c r="D8" s="3"/>
      <c r="E8" s="3"/>
      <c r="F8" s="3"/>
      <c r="G8" s="3"/>
      <c r="H8" s="4" t="s">
        <v>3</v>
      </c>
      <c r="I8" s="3"/>
      <c r="J8" s="3"/>
      <c r="K8" s="3"/>
      <c r="L8" s="3"/>
      <c r="M8" s="3"/>
    </row>
    <row r="9" ht="15.75" customHeight="1">
      <c r="C9" s="2">
        <f>Optimistisch!C9</f>
        <v>2019</v>
      </c>
      <c r="D9" s="2">
        <f t="shared" ref="D9:M9" si="1">C9+1</f>
        <v>2020</v>
      </c>
      <c r="E9" s="2">
        <f t="shared" si="1"/>
        <v>2021</v>
      </c>
      <c r="F9" s="2">
        <f t="shared" si="1"/>
        <v>2022</v>
      </c>
      <c r="G9" s="2">
        <f t="shared" si="1"/>
        <v>2023</v>
      </c>
      <c r="H9" s="5">
        <f t="shared" si="1"/>
        <v>2024</v>
      </c>
      <c r="I9" s="5">
        <f t="shared" si="1"/>
        <v>2025</v>
      </c>
      <c r="J9" s="5">
        <f t="shared" si="1"/>
        <v>2026</v>
      </c>
      <c r="K9" s="5">
        <f t="shared" si="1"/>
        <v>2027</v>
      </c>
      <c r="L9" s="5">
        <f t="shared" si="1"/>
        <v>2028</v>
      </c>
      <c r="M9" s="5">
        <f t="shared" si="1"/>
        <v>2029</v>
      </c>
      <c r="R9" s="9"/>
    </row>
    <row r="10" ht="15.75" customHeight="1">
      <c r="B10" s="2" t="s">
        <v>4</v>
      </c>
      <c r="C10" s="7">
        <f>Optimistisch!C10</f>
        <v>59.316</v>
      </c>
      <c r="D10" s="7">
        <f>Optimistisch!D10</f>
        <v>59.149</v>
      </c>
      <c r="E10" s="7">
        <f>Optimistisch!E10</f>
        <v>78.598</v>
      </c>
      <c r="F10" s="7">
        <f>Optimistisch!F10</f>
        <v>87.327</v>
      </c>
      <c r="G10" s="7">
        <f>Optimistisch!G10</f>
        <v>68.902</v>
      </c>
      <c r="H10" s="8">
        <f>Optimistisch!H10</f>
        <v>70.09129</v>
      </c>
      <c r="I10" s="8">
        <f>Optimistisch!I10</f>
        <v>72.96236</v>
      </c>
      <c r="J10" s="8">
        <f>Optimistisch!J10</f>
        <v>75.39955</v>
      </c>
      <c r="K10" s="8">
        <f>(Optimistisch!K10+Pessimistisch!K10)/2</f>
        <v>78.98102863</v>
      </c>
      <c r="L10" s="8">
        <f>(Optimistisch!L10+Pessimistisch!L10)/2</f>
        <v>79.57762756</v>
      </c>
      <c r="M10" s="8">
        <f>(Optimistisch!M10+Pessimistisch!M10)/2</f>
        <v>74.61855204</v>
      </c>
      <c r="N10" s="7"/>
      <c r="O10" s="7"/>
      <c r="P10" s="7"/>
      <c r="Q10" s="7"/>
      <c r="R10" s="7"/>
    </row>
    <row r="11" ht="15.75" customHeight="1">
      <c r="B11" s="2" t="s">
        <v>31</v>
      </c>
      <c r="C11" s="10">
        <f t="shared" ref="C11:G11" si="2">C12/C10</f>
        <v>0.0615348304</v>
      </c>
      <c r="D11" s="10">
        <f t="shared" si="2"/>
        <v>0.03861434682</v>
      </c>
      <c r="E11" s="10">
        <f t="shared" si="2"/>
        <v>0.0472403878</v>
      </c>
      <c r="F11" s="10">
        <f t="shared" si="2"/>
        <v>0.03816688997</v>
      </c>
      <c r="G11" s="10">
        <f t="shared" si="2"/>
        <v>0.03940379089</v>
      </c>
      <c r="H11" s="11">
        <v>0.01</v>
      </c>
      <c r="I11" s="11">
        <v>0.0257</v>
      </c>
      <c r="J11" s="11">
        <v>0.0477</v>
      </c>
      <c r="K11" s="11">
        <v>0.015</v>
      </c>
      <c r="L11" s="11">
        <v>0.055</v>
      </c>
      <c r="M11" s="11">
        <v>0.04</v>
      </c>
      <c r="N11" s="10"/>
      <c r="O11" s="10"/>
      <c r="P11" s="10"/>
      <c r="Q11" s="10"/>
      <c r="R11" s="10"/>
    </row>
    <row r="12" ht="15.75" customHeight="1">
      <c r="B12" s="2" t="s">
        <v>32</v>
      </c>
      <c r="C12" s="7">
        <v>3.65</v>
      </c>
      <c r="D12" s="7">
        <v>2.284</v>
      </c>
      <c r="E12" s="7">
        <v>3.713</v>
      </c>
      <c r="F12" s="7">
        <v>3.333</v>
      </c>
      <c r="G12" s="7">
        <v>2.715</v>
      </c>
      <c r="H12" s="8">
        <f t="shared" ref="H12:M12" si="3">H10*H11</f>
        <v>0.7009129</v>
      </c>
      <c r="I12" s="8">
        <f t="shared" si="3"/>
        <v>1.875132652</v>
      </c>
      <c r="J12" s="8">
        <f t="shared" si="3"/>
        <v>3.596558535</v>
      </c>
      <c r="K12" s="8">
        <f t="shared" si="3"/>
        <v>1.184715429</v>
      </c>
      <c r="L12" s="8">
        <f t="shared" si="3"/>
        <v>4.376769516</v>
      </c>
      <c r="M12" s="8">
        <f t="shared" si="3"/>
        <v>2.984742081</v>
      </c>
      <c r="N12" s="7"/>
      <c r="O12" s="7"/>
      <c r="P12" s="7"/>
      <c r="Q12" s="7"/>
      <c r="R12" s="7"/>
    </row>
    <row r="13" ht="15.75" customHeight="1">
      <c r="F13" s="12" t="s">
        <v>33</v>
      </c>
      <c r="G13" s="13"/>
      <c r="H13" s="14">
        <f>H12/(1+$B$37)</f>
        <v>0.6595907104</v>
      </c>
      <c r="I13" s="14">
        <f>I12/(1+$B$37)^2</f>
        <v>1.660553801</v>
      </c>
      <c r="J13" s="14">
        <f>J12/(1+$B$37)^3</f>
        <v>2.997219608</v>
      </c>
      <c r="K13" s="14">
        <f>K12/(1+$B$37)^4</f>
        <v>0.9290860817</v>
      </c>
      <c r="L13" s="14">
        <f>L12/(1+$B$37)^5</f>
        <v>3.230026339</v>
      </c>
      <c r="M13" s="15">
        <f>(M12/(B37-B39))/(1+B37)^5</f>
        <v>41.83843506</v>
      </c>
      <c r="N13" s="7"/>
      <c r="O13" s="7"/>
      <c r="P13" s="7"/>
      <c r="Q13" s="7"/>
      <c r="R13" s="7"/>
    </row>
    <row r="14" ht="15.75" customHeight="1"/>
    <row r="15" ht="15.75" customHeight="1">
      <c r="A15" s="16" t="s">
        <v>13</v>
      </c>
      <c r="B15" s="17"/>
    </row>
    <row r="16" ht="15.75" customHeight="1">
      <c r="B16" s="18"/>
    </row>
    <row r="17" ht="15.75" customHeight="1">
      <c r="A17" s="2" t="s">
        <v>14</v>
      </c>
      <c r="B17" s="20">
        <f>Optimistisch!B21</f>
        <v>0.02398</v>
      </c>
    </row>
    <row r="18" ht="15.75" customHeight="1">
      <c r="B18" s="18"/>
    </row>
    <row r="19" ht="15.75" customHeight="1">
      <c r="A19" s="2" t="s">
        <v>15</v>
      </c>
      <c r="B19" s="20">
        <f>(B21-B17)*B23</f>
        <v>0.0520026</v>
      </c>
    </row>
    <row r="20" ht="15.75" customHeight="1">
      <c r="B20" s="18"/>
    </row>
    <row r="21" ht="15.75" customHeight="1">
      <c r="A21" s="2" t="s">
        <v>16</v>
      </c>
      <c r="B21" s="20">
        <f>Optimistisch!B25</f>
        <v>0.07</v>
      </c>
    </row>
    <row r="22" ht="15.75" customHeight="1">
      <c r="B22" s="18"/>
    </row>
    <row r="23" ht="15.75" customHeight="1">
      <c r="A23" s="2" t="s">
        <v>17</v>
      </c>
      <c r="B23" s="21">
        <f>Optimistisch!B27</f>
        <v>1.13</v>
      </c>
    </row>
    <row r="24" ht="15.75" customHeight="1">
      <c r="B24" s="18"/>
    </row>
    <row r="25" ht="15.75" customHeight="1">
      <c r="A25" s="22" t="s">
        <v>18</v>
      </c>
      <c r="B25" s="23">
        <f>B17+(B21-B17)*B23</f>
        <v>0.0759826</v>
      </c>
    </row>
    <row r="26" ht="15.75" customHeight="1"/>
    <row r="27" ht="15.75" customHeight="1">
      <c r="A27" s="28" t="s">
        <v>34</v>
      </c>
      <c r="B27" s="17"/>
    </row>
    <row r="28" ht="15.75" customHeight="1">
      <c r="A28" s="30"/>
      <c r="B28" s="18"/>
    </row>
    <row r="29" ht="15.75" customHeight="1">
      <c r="A29" s="30" t="s">
        <v>35</v>
      </c>
      <c r="B29" s="21">
        <f>C42</f>
        <v>48.043275</v>
      </c>
    </row>
    <row r="30" ht="15.75" customHeight="1">
      <c r="A30" s="30"/>
      <c r="B30" s="18"/>
    </row>
    <row r="31" ht="15.75" customHeight="1">
      <c r="A31" s="30" t="s">
        <v>36</v>
      </c>
      <c r="B31" s="21">
        <v>19.268</v>
      </c>
    </row>
    <row r="32" ht="15.75" customHeight="1">
      <c r="A32" s="30"/>
      <c r="B32" s="18"/>
    </row>
    <row r="33" ht="15.75" customHeight="1">
      <c r="A33" s="30" t="s">
        <v>37</v>
      </c>
      <c r="B33" s="20">
        <v>0.042</v>
      </c>
    </row>
    <row r="34" ht="15.75" customHeight="1">
      <c r="A34" s="30"/>
      <c r="B34" s="18"/>
    </row>
    <row r="35" ht="15.75" customHeight="1">
      <c r="A35" s="30" t="s">
        <v>38</v>
      </c>
      <c r="B35" s="20">
        <v>0.3</v>
      </c>
    </row>
    <row r="36" ht="15.75" customHeight="1">
      <c r="A36" s="30"/>
      <c r="B36" s="18"/>
    </row>
    <row r="37" ht="15.75" customHeight="1">
      <c r="A37" s="35" t="s">
        <v>39</v>
      </c>
      <c r="B37" s="23">
        <f>B25*(B29/(B29+B31))+B33*(B31/(B29+B31))*(1-B35)</f>
        <v>0.06264822865</v>
      </c>
    </row>
    <row r="38" ht="15.75" customHeight="1">
      <c r="B38" s="10"/>
    </row>
    <row r="39" ht="15.75" customHeight="1">
      <c r="A39" s="2" t="s">
        <v>40</v>
      </c>
      <c r="B39" s="10">
        <v>0.01</v>
      </c>
    </row>
    <row r="40" ht="15.75" customHeight="1"/>
    <row r="41" ht="15.75" customHeight="1">
      <c r="A41" s="3"/>
      <c r="B41" s="3"/>
      <c r="C41" s="24">
        <f>Optimistisch!C31</f>
        <v>45387</v>
      </c>
      <c r="D41" s="25" t="s">
        <v>19</v>
      </c>
    </row>
    <row r="42" ht="15.75" customHeight="1">
      <c r="A42" s="5" t="s">
        <v>20</v>
      </c>
      <c r="B42" s="5" t="s">
        <v>21</v>
      </c>
      <c r="C42" s="8">
        <f>C43*C44</f>
        <v>48.043275</v>
      </c>
      <c r="D42" s="8">
        <f>SUM(H13:M13)-B31</f>
        <v>32.0469116</v>
      </c>
    </row>
    <row r="43" ht="15.75" customHeight="1">
      <c r="A43" s="5"/>
      <c r="B43" s="5" t="s">
        <v>22</v>
      </c>
      <c r="C43" s="8">
        <f>Optimistisch!C33</f>
        <v>0.8925</v>
      </c>
      <c r="D43" s="8">
        <f>C43</f>
        <v>0.8925</v>
      </c>
    </row>
    <row r="44" ht="15.75" customHeight="1">
      <c r="A44" s="5"/>
      <c r="B44" s="5" t="s">
        <v>23</v>
      </c>
      <c r="C44" s="8">
        <f>Optimistisch!C34</f>
        <v>53.83</v>
      </c>
      <c r="D44" s="8">
        <f>D42/D43</f>
        <v>35.90690375</v>
      </c>
    </row>
    <row r="45" ht="15.75" customHeight="1">
      <c r="A45" s="5"/>
      <c r="B45" s="5" t="s">
        <v>24</v>
      </c>
      <c r="C45" s="5"/>
      <c r="D45" s="11">
        <f>IF(C44/D44-1&gt;0,0,C44/D44-1)*-1</f>
        <v>0</v>
      </c>
    </row>
    <row r="46" ht="15.75" customHeight="1">
      <c r="A46" s="5"/>
      <c r="B46" s="5" t="s">
        <v>25</v>
      </c>
      <c r="C46" s="5"/>
      <c r="D46" s="11">
        <f>IF(C44/D44-1&lt;0,0,C44/D44-1)</f>
        <v>0.499154602</v>
      </c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7" right="0.7" top="0.7874015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2023-11-01T21:06:40Z</dcterms:created>
  <dc:creator>Tilman Reichel</dc:creator>
</cp:coreProperties>
</file>