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fLrw7OoVOpWxYi6SVeeDmSI9a4YZeT0Toar7ObdfWdc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<sst xmlns="http://schemas.openxmlformats.org/spreadsheetml/2006/main" count="118" uniqueCount="41">
  <si>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</si>
  <si>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Mainfreight</t>
  </si>
  <si>
    <t>Alle Angaben in Mrd.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</si>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</sst>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2019.0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v>2.954087</v>
      </c>
      <c r="D10" s="7">
        <v>3.095394</v>
      </c>
      <c r="E10" s="7">
        <v>3.543838</v>
      </c>
      <c r="F10" s="7">
        <v>5.218259</v>
      </c>
      <c r="G10" s="7">
        <v>5.675709</v>
      </c>
      <c r="H10" s="8">
        <v>4.858</v>
      </c>
      <c r="I10" s="8">
        <v>5.366</v>
      </c>
      <c r="J10" s="8">
        <v>5.938</v>
      </c>
      <c r="K10" s="8">
        <f t="shared" ref="K10:R10" si="2">J10*(1+K11)</f>
        <v>6.50211</v>
      </c>
      <c r="L10" s="8">
        <f t="shared" si="2"/>
        <v>7.05478935</v>
      </c>
      <c r="M10" s="8">
        <f t="shared" si="2"/>
        <v>7.654446445</v>
      </c>
      <c r="N10" s="8">
        <f t="shared" si="2"/>
        <v>7.92235207</v>
      </c>
      <c r="O10" s="8">
        <f t="shared" si="2"/>
        <v>8.516528476</v>
      </c>
      <c r="P10" s="8">
        <f t="shared" si="2"/>
        <v>9.112685469</v>
      </c>
      <c r="Q10" s="8">
        <f t="shared" si="2"/>
        <v>9.705010024</v>
      </c>
      <c r="R10" s="8">
        <f t="shared" si="2"/>
        <v>9.899110225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0.04783440704</v>
      </c>
      <c r="E11" s="10">
        <f t="shared" si="3"/>
        <v>0.1448746105</v>
      </c>
      <c r="F11" s="10">
        <f t="shared" si="3"/>
        <v>0.4724880201</v>
      </c>
      <c r="G11" s="10">
        <f t="shared" si="3"/>
        <v>0.08766333752</v>
      </c>
      <c r="H11" s="11">
        <f t="shared" si="3"/>
        <v>-0.1440716922</v>
      </c>
      <c r="I11" s="11">
        <f t="shared" si="3"/>
        <v>0.1045697818</v>
      </c>
      <c r="J11" s="11">
        <f t="shared" si="3"/>
        <v>0.1065970928</v>
      </c>
      <c r="K11" s="11">
        <v>0.095</v>
      </c>
      <c r="L11" s="11">
        <v>0.085</v>
      </c>
      <c r="M11" s="11">
        <v>0.085</v>
      </c>
      <c r="N11" s="11">
        <v>0.035</v>
      </c>
      <c r="O11" s="11">
        <v>0.075</v>
      </c>
      <c r="P11" s="11">
        <v>0.07</v>
      </c>
      <c r="Q11" s="11">
        <v>0.065</v>
      </c>
      <c r="R11" s="11">
        <v>0.02</v>
      </c>
    </row>
    <row r="12" ht="15.75" customHeight="1">
      <c r="B12" s="2" t="s">
        <v>7</v>
      </c>
      <c r="C12" s="10">
        <f t="shared" ref="C12:J12" si="4">C13/C10</f>
        <v>0.06903723553</v>
      </c>
      <c r="D12" s="10">
        <f t="shared" si="4"/>
        <v>0.07417472541</v>
      </c>
      <c r="E12" s="10">
        <f t="shared" si="4"/>
        <v>0.08025649028</v>
      </c>
      <c r="F12" s="10">
        <f t="shared" si="4"/>
        <v>0.09781499922</v>
      </c>
      <c r="G12" s="10">
        <f t="shared" si="4"/>
        <v>0.1078348097</v>
      </c>
      <c r="H12" s="11">
        <f t="shared" si="4"/>
        <v>0.0866</v>
      </c>
      <c r="I12" s="11">
        <f t="shared" si="4"/>
        <v>0.0882</v>
      </c>
      <c r="J12" s="11">
        <f t="shared" si="4"/>
        <v>0.0918</v>
      </c>
      <c r="K12" s="11">
        <v>0.0925</v>
      </c>
      <c r="L12" s="11">
        <v>0.095</v>
      </c>
      <c r="M12" s="11">
        <v>0.095</v>
      </c>
      <c r="N12" s="11">
        <v>0.0975</v>
      </c>
      <c r="O12" s="11">
        <v>0.085</v>
      </c>
      <c r="P12" s="11">
        <v>0.105</v>
      </c>
      <c r="Q12" s="11">
        <v>0.115</v>
      </c>
      <c r="R12" s="11">
        <v>0.11</v>
      </c>
    </row>
    <row r="13" ht="15.75" customHeight="1">
      <c r="B13" s="2" t="s">
        <v>8</v>
      </c>
      <c r="C13" s="7">
        <v>0.203942</v>
      </c>
      <c r="D13" s="7">
        <v>0.22959999999999997</v>
      </c>
      <c r="E13" s="7">
        <v>0.284416</v>
      </c>
      <c r="F13" s="7">
        <v>0.510424</v>
      </c>
      <c r="G13" s="7">
        <v>0.612039</v>
      </c>
      <c r="H13" s="8">
        <v>0.42070279999999993</v>
      </c>
      <c r="I13" s="8">
        <v>0.47328119999999996</v>
      </c>
      <c r="J13" s="8">
        <v>0.5451084</v>
      </c>
      <c r="K13" s="8">
        <f t="shared" ref="K13:R13" si="5">K10*K12</f>
        <v>0.601445175</v>
      </c>
      <c r="L13" s="8">
        <f t="shared" si="5"/>
        <v>0.6702049883</v>
      </c>
      <c r="M13" s="8">
        <f t="shared" si="5"/>
        <v>0.7271724123</v>
      </c>
      <c r="N13" s="8">
        <f t="shared" si="5"/>
        <v>0.7724293269</v>
      </c>
      <c r="O13" s="8">
        <f t="shared" si="5"/>
        <v>0.7239049204</v>
      </c>
      <c r="P13" s="8">
        <f t="shared" si="5"/>
        <v>0.9568319742</v>
      </c>
      <c r="Q13" s="8">
        <f t="shared" si="5"/>
        <v>1.116076153</v>
      </c>
      <c r="R13" s="8">
        <f t="shared" si="5"/>
        <v>1.088902125</v>
      </c>
    </row>
    <row r="14" ht="15.75" customHeight="1">
      <c r="A14" s="11">
        <v>0.275</v>
      </c>
      <c r="B14" s="2" t="s">
        <v>9</v>
      </c>
      <c r="C14" s="7">
        <v>0.137624</v>
      </c>
      <c r="D14" s="7">
        <v>0.159201</v>
      </c>
      <c r="E14" s="7">
        <v>0.18811</v>
      </c>
      <c r="F14" s="7">
        <v>0.355397</v>
      </c>
      <c r="G14" s="7">
        <v>0.426476</v>
      </c>
      <c r="H14" s="8">
        <v>0.2822498</v>
      </c>
      <c r="I14" s="8">
        <v>0.3160574</v>
      </c>
      <c r="J14" s="8">
        <v>0.3663746</v>
      </c>
      <c r="K14" s="8">
        <f t="shared" ref="K14:R14" si="6">K13*(1-$A$14)</f>
        <v>0.4360477519</v>
      </c>
      <c r="L14" s="8">
        <f t="shared" si="6"/>
        <v>0.4858986165</v>
      </c>
      <c r="M14" s="8">
        <f t="shared" si="6"/>
        <v>0.5271999989</v>
      </c>
      <c r="N14" s="8">
        <f t="shared" si="6"/>
        <v>0.560011262</v>
      </c>
      <c r="O14" s="8">
        <f t="shared" si="6"/>
        <v>0.5248310673</v>
      </c>
      <c r="P14" s="8">
        <f t="shared" si="6"/>
        <v>0.6937031813</v>
      </c>
      <c r="Q14" s="8">
        <f t="shared" si="6"/>
        <v>0.8091552108</v>
      </c>
      <c r="R14" s="8">
        <f t="shared" si="6"/>
        <v>0.7894540404</v>
      </c>
    </row>
    <row r="15" ht="15.75" customHeight="1">
      <c r="A15" s="11">
        <v>1.0</v>
      </c>
      <c r="B15" s="2" t="s">
        <v>10</v>
      </c>
      <c r="H15" s="8">
        <f>C33</f>
        <v>0.100698548</v>
      </c>
      <c r="I15" s="8">
        <f t="shared" ref="I15:Q15" si="7">H15*$A$15</f>
        <v>0.100698548</v>
      </c>
      <c r="J15" s="8">
        <f t="shared" si="7"/>
        <v>0.100698548</v>
      </c>
      <c r="K15" s="8">
        <f t="shared" si="7"/>
        <v>0.100698548</v>
      </c>
      <c r="L15" s="8">
        <f t="shared" si="7"/>
        <v>0.100698548</v>
      </c>
      <c r="M15" s="8">
        <f t="shared" si="7"/>
        <v>0.100698548</v>
      </c>
      <c r="N15" s="8">
        <f t="shared" si="7"/>
        <v>0.100698548</v>
      </c>
      <c r="O15" s="8">
        <f t="shared" si="7"/>
        <v>0.100698548</v>
      </c>
      <c r="P15" s="8">
        <f t="shared" si="7"/>
        <v>0.100698548</v>
      </c>
      <c r="Q15" s="8">
        <f t="shared" si="7"/>
        <v>0.100698548</v>
      </c>
      <c r="R15" s="6" t="s">
        <v>6</v>
      </c>
    </row>
    <row r="16" ht="15.75" customHeight="1">
      <c r="B16" s="2" t="s">
        <v>11</v>
      </c>
      <c r="H16" s="8">
        <f t="shared" ref="H16:Q16" si="8">H14/H15</f>
        <v>2.80291827</v>
      </c>
      <c r="I16" s="8">
        <f t="shared" si="8"/>
        <v>3.13864903</v>
      </c>
      <c r="J16" s="8">
        <f t="shared" si="8"/>
        <v>3.638330515</v>
      </c>
      <c r="K16" s="8">
        <f t="shared" si="8"/>
        <v>4.330228792</v>
      </c>
      <c r="L16" s="8">
        <f t="shared" si="8"/>
        <v>4.825279273</v>
      </c>
      <c r="M16" s="8">
        <f t="shared" si="8"/>
        <v>5.235428011</v>
      </c>
      <c r="N16" s="8">
        <f t="shared" si="8"/>
        <v>5.561264518</v>
      </c>
      <c r="O16" s="8">
        <f t="shared" si="8"/>
        <v>5.211903029</v>
      </c>
      <c r="P16" s="8">
        <f t="shared" si="8"/>
        <v>6.888909474</v>
      </c>
      <c r="Q16" s="8">
        <f t="shared" si="8"/>
        <v>8.035420836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0.2641971061</v>
      </c>
      <c r="I17" s="14">
        <f>I14/(1+$B$29)^2</f>
        <v>0.2769202977</v>
      </c>
      <c r="J17" s="14">
        <f>J14/(1+$B$29)^3</f>
        <v>0.3004751753</v>
      </c>
      <c r="K17" s="14">
        <f>K14/(1+$B$29)^4</f>
        <v>0.3347431549</v>
      </c>
      <c r="L17" s="14">
        <f>L14/(1+$B$29)^5</f>
        <v>0.3491545686</v>
      </c>
      <c r="M17" s="14">
        <f>M14/(1+$B$29)^6</f>
        <v>0.3546025714</v>
      </c>
      <c r="N17" s="14">
        <f>N14/(1+$B$29)^7</f>
        <v>0.3525799843</v>
      </c>
      <c r="O17" s="14">
        <f>O14/(1+$B$29)^8</f>
        <v>0.3092963833</v>
      </c>
      <c r="P17" s="14">
        <f>P14/(1+$B$29)^9</f>
        <v>0.3826691097</v>
      </c>
      <c r="Q17" s="14">
        <f>Q14/(1+$B$29)^10</f>
        <v>0.4178072467</v>
      </c>
      <c r="R17" s="15">
        <f>(R14/(B29-R11))/(1+B29)^10</f>
        <v>8.434330122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0.04913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0.0192004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0.92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0.0683304</v>
      </c>
    </row>
    <row r="30" ht="15.75" customHeight="1"/>
    <row r="31" ht="15.75" customHeight="1">
      <c r="A31" s="3"/>
      <c r="B31" s="3"/>
      <c r="C31" s="24">
        <v>45394.0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6.917990248</v>
      </c>
      <c r="D32" s="8">
        <f>SUM(H17:R17)</f>
        <v>11.77677572</v>
      </c>
    </row>
    <row r="33" ht="15.75" customHeight="1">
      <c r="A33" s="5"/>
      <c r="B33" s="5" t="s">
        <v>22</v>
      </c>
      <c r="C33" s="8">
        <v>0.100698548</v>
      </c>
      <c r="D33" s="8">
        <f>C33</f>
        <v>0.100698548</v>
      </c>
    </row>
    <row r="34" ht="15.75" customHeight="1">
      <c r="A34" s="5"/>
      <c r="B34" s="5" t="s">
        <v>23</v>
      </c>
      <c r="C34" s="26">
        <v>68.7</v>
      </c>
      <c r="D34" s="8">
        <f>D32/D33</f>
        <v>116.9507997</v>
      </c>
    </row>
    <row r="35" ht="15.75" customHeight="1">
      <c r="A35" s="5"/>
      <c r="B35" s="5" t="s">
        <v>24</v>
      </c>
      <c r="C35" s="5"/>
      <c r="D35" s="11">
        <f>IF(C34/D34-1&gt;0,0,C34/D34-1)*-1</f>
        <v>0.4125734911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21.0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168.7438376</v>
      </c>
    </row>
    <row r="43" ht="15.75" customHeight="1">
      <c r="A43" s="30"/>
      <c r="D43" s="18"/>
    </row>
    <row r="44" ht="15.75" customHeight="1">
      <c r="A44" s="30" t="s">
        <v>27</v>
      </c>
      <c r="D44" s="20">
        <v>0.6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29.80099905</v>
      </c>
    </row>
    <row r="47" ht="15.75" customHeight="1">
      <c r="A47" s="30"/>
      <c r="D47" s="18"/>
    </row>
    <row r="48" ht="15.75" customHeight="1">
      <c r="A48" s="30" t="s">
        <v>29</v>
      </c>
      <c r="D48" s="20"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194.0746868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1.82495905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0.1094333471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Mainfreight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2.954087</v>
      </c>
      <c r="D10" s="7">
        <f>Optimistisch!D10</f>
        <v>3.095394</v>
      </c>
      <c r="E10" s="7">
        <f>Optimistisch!E10</f>
        <v>3.543838</v>
      </c>
      <c r="F10" s="7">
        <f>Optimistisch!F10</f>
        <v>5.218259</v>
      </c>
      <c r="G10" s="7">
        <f>Optimistisch!G10</f>
        <v>5.675709</v>
      </c>
      <c r="H10" s="8">
        <f>Optimistisch!H10</f>
        <v>4.858</v>
      </c>
      <c r="I10" s="8">
        <f>Optimistisch!I10</f>
        <v>5.366</v>
      </c>
      <c r="J10" s="8">
        <f>Optimistisch!J10</f>
        <v>5.938</v>
      </c>
      <c r="K10" s="8">
        <f t="shared" ref="K10:R10" si="2">J10*(1+K11)</f>
        <v>6.35366</v>
      </c>
      <c r="L10" s="8">
        <f t="shared" si="2"/>
        <v>6.6395747</v>
      </c>
      <c r="M10" s="8">
        <f t="shared" si="2"/>
        <v>7.071147056</v>
      </c>
      <c r="N10" s="8">
        <f t="shared" si="2"/>
        <v>7.247925732</v>
      </c>
      <c r="O10" s="8">
        <f t="shared" si="2"/>
        <v>7.646561647</v>
      </c>
      <c r="P10" s="8">
        <f t="shared" si="2"/>
        <v>7.990656921</v>
      </c>
      <c r="Q10" s="8">
        <f t="shared" si="2"/>
        <v>8.310283198</v>
      </c>
      <c r="R10" s="8">
        <f t="shared" si="2"/>
        <v>8.39338603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0.04783440704</v>
      </c>
      <c r="E11" s="10">
        <f t="shared" si="3"/>
        <v>0.1448746105</v>
      </c>
      <c r="F11" s="10">
        <f t="shared" si="3"/>
        <v>0.4724880201</v>
      </c>
      <c r="G11" s="10">
        <f t="shared" si="3"/>
        <v>0.08766333752</v>
      </c>
      <c r="H11" s="11">
        <f t="shared" si="3"/>
        <v>-0.1440716922</v>
      </c>
      <c r="I11" s="11">
        <f t="shared" si="3"/>
        <v>0.1045697818</v>
      </c>
      <c r="J11" s="11">
        <f t="shared" si="3"/>
        <v>0.1065970928</v>
      </c>
      <c r="K11" s="11">
        <v>0.07</v>
      </c>
      <c r="L11" s="11">
        <v>0.045</v>
      </c>
      <c r="M11" s="11">
        <v>0.065</v>
      </c>
      <c r="N11" s="11">
        <v>0.025</v>
      </c>
      <c r="O11" s="11">
        <v>0.055</v>
      </c>
      <c r="P11" s="11">
        <v>0.045</v>
      </c>
      <c r="Q11" s="11">
        <v>0.04</v>
      </c>
      <c r="R11" s="11">
        <v>0.01</v>
      </c>
    </row>
    <row r="12" ht="15.75" customHeight="1">
      <c r="B12" s="2" t="s">
        <v>7</v>
      </c>
      <c r="C12" s="10">
        <f t="shared" ref="C12:J12" si="4">C13/C10</f>
        <v>0.06903723553</v>
      </c>
      <c r="D12" s="10">
        <f t="shared" si="4"/>
        <v>0.07417472541</v>
      </c>
      <c r="E12" s="10">
        <f t="shared" si="4"/>
        <v>0.08025649028</v>
      </c>
      <c r="F12" s="10">
        <f t="shared" si="4"/>
        <v>0.09781499922</v>
      </c>
      <c r="G12" s="10">
        <f t="shared" si="4"/>
        <v>0.1078348097</v>
      </c>
      <c r="H12" s="11">
        <f t="shared" si="4"/>
        <v>0.0866</v>
      </c>
      <c r="I12" s="11">
        <f t="shared" si="4"/>
        <v>0.0882</v>
      </c>
      <c r="J12" s="11">
        <f t="shared" si="4"/>
        <v>0.0918</v>
      </c>
      <c r="K12" s="11">
        <v>0.09</v>
      </c>
      <c r="L12" s="11">
        <v>0.0875</v>
      </c>
      <c r="M12" s="11">
        <v>0.06</v>
      </c>
      <c r="N12" s="11">
        <v>0.075</v>
      </c>
      <c r="O12" s="11">
        <v>0.07</v>
      </c>
      <c r="P12" s="11">
        <v>0.035</v>
      </c>
      <c r="Q12" s="11">
        <v>0.08</v>
      </c>
      <c r="R12" s="11">
        <v>0.075</v>
      </c>
    </row>
    <row r="13" ht="15.75" customHeight="1">
      <c r="B13" s="2" t="s">
        <v>8</v>
      </c>
      <c r="C13" s="7">
        <f>Optimistisch!C13</f>
        <v>0.203942</v>
      </c>
      <c r="D13" s="7">
        <f>Optimistisch!D13</f>
        <v>0.2296</v>
      </c>
      <c r="E13" s="7">
        <f>Optimistisch!E13</f>
        <v>0.284416</v>
      </c>
      <c r="F13" s="7">
        <f>Optimistisch!F13</f>
        <v>0.510424</v>
      </c>
      <c r="G13" s="7">
        <f>Optimistisch!G13</f>
        <v>0.612039</v>
      </c>
      <c r="H13" s="8">
        <f>Optimistisch!H13</f>
        <v>0.4207028</v>
      </c>
      <c r="I13" s="8">
        <f>Optimistisch!I13</f>
        <v>0.4732812</v>
      </c>
      <c r="J13" s="8">
        <f>Optimistisch!J13</f>
        <v>0.5451084</v>
      </c>
      <c r="K13" s="8">
        <f t="shared" ref="K13:R13" si="5">K10*K12</f>
        <v>0.5718294</v>
      </c>
      <c r="L13" s="8">
        <f t="shared" si="5"/>
        <v>0.5809627863</v>
      </c>
      <c r="M13" s="8">
        <f t="shared" si="5"/>
        <v>0.4242688233</v>
      </c>
      <c r="N13" s="8">
        <f t="shared" si="5"/>
        <v>0.5435944299</v>
      </c>
      <c r="O13" s="8">
        <f t="shared" si="5"/>
        <v>0.5352593153</v>
      </c>
      <c r="P13" s="8">
        <f t="shared" si="5"/>
        <v>0.2796729922</v>
      </c>
      <c r="Q13" s="8">
        <f t="shared" si="5"/>
        <v>0.6648226558</v>
      </c>
      <c r="R13" s="8">
        <f t="shared" si="5"/>
        <v>0.6295039523</v>
      </c>
    </row>
    <row r="14" ht="15.75" customHeight="1">
      <c r="A14" s="11">
        <v>0.325</v>
      </c>
      <c r="B14" s="2" t="s">
        <v>9</v>
      </c>
      <c r="C14" s="7">
        <f>Optimistisch!C14</f>
        <v>0.137624</v>
      </c>
      <c r="D14" s="7">
        <f>Optimistisch!D14</f>
        <v>0.159201</v>
      </c>
      <c r="E14" s="7">
        <f>Optimistisch!E14</f>
        <v>0.18811</v>
      </c>
      <c r="F14" s="7">
        <f>Optimistisch!F14</f>
        <v>0.355397</v>
      </c>
      <c r="G14" s="7">
        <f>Optimistisch!G14</f>
        <v>0.426476</v>
      </c>
      <c r="H14" s="8">
        <f>Optimistisch!H14</f>
        <v>0.2822498</v>
      </c>
      <c r="I14" s="8">
        <f>Optimistisch!I14</f>
        <v>0.3160574</v>
      </c>
      <c r="J14" s="8">
        <f>Optimistisch!J14</f>
        <v>0.3663746</v>
      </c>
      <c r="K14" s="8">
        <f t="shared" ref="K14:R14" si="6">K13*(1-$A$14)</f>
        <v>0.385984845</v>
      </c>
      <c r="L14" s="8">
        <f t="shared" si="6"/>
        <v>0.3921498807</v>
      </c>
      <c r="M14" s="8">
        <f t="shared" si="6"/>
        <v>0.2863814557</v>
      </c>
      <c r="N14" s="8">
        <f t="shared" si="6"/>
        <v>0.3669262402</v>
      </c>
      <c r="O14" s="8">
        <f t="shared" si="6"/>
        <v>0.3613000378</v>
      </c>
      <c r="P14" s="8">
        <f t="shared" si="6"/>
        <v>0.1887792698</v>
      </c>
      <c r="Q14" s="8">
        <f t="shared" si="6"/>
        <v>0.4487552927</v>
      </c>
      <c r="R14" s="8">
        <f t="shared" si="6"/>
        <v>0.4249151678</v>
      </c>
    </row>
    <row r="15" ht="15.75" customHeight="1">
      <c r="A15" s="11">
        <v>1.0</v>
      </c>
      <c r="B15" s="2" t="s">
        <v>10</v>
      </c>
      <c r="H15" s="8">
        <f>C33</f>
        <v>0.100698548</v>
      </c>
      <c r="I15" s="8">
        <f t="shared" ref="I15:Q15" si="7">H15*$A$15</f>
        <v>0.100698548</v>
      </c>
      <c r="J15" s="8">
        <f t="shared" si="7"/>
        <v>0.100698548</v>
      </c>
      <c r="K15" s="8">
        <f t="shared" si="7"/>
        <v>0.100698548</v>
      </c>
      <c r="L15" s="8">
        <f t="shared" si="7"/>
        <v>0.100698548</v>
      </c>
      <c r="M15" s="8">
        <f t="shared" si="7"/>
        <v>0.100698548</v>
      </c>
      <c r="N15" s="8">
        <f t="shared" si="7"/>
        <v>0.100698548</v>
      </c>
      <c r="O15" s="8">
        <f t="shared" si="7"/>
        <v>0.100698548</v>
      </c>
      <c r="P15" s="8">
        <f t="shared" si="7"/>
        <v>0.100698548</v>
      </c>
      <c r="Q15" s="8">
        <f t="shared" si="7"/>
        <v>0.100698548</v>
      </c>
      <c r="R15" s="6" t="s">
        <v>6</v>
      </c>
    </row>
    <row r="16" ht="15.75" customHeight="1">
      <c r="B16" s="2" t="s">
        <v>11</v>
      </c>
      <c r="H16" s="8">
        <f t="shared" ref="H16:Q16" si="8">H14/H15</f>
        <v>2.80291827</v>
      </c>
      <c r="I16" s="8">
        <f t="shared" si="8"/>
        <v>3.13864903</v>
      </c>
      <c r="J16" s="8">
        <f t="shared" si="8"/>
        <v>3.638330515</v>
      </c>
      <c r="K16" s="8">
        <f t="shared" si="8"/>
        <v>3.833072598</v>
      </c>
      <c r="L16" s="8">
        <f t="shared" si="8"/>
        <v>3.894295285</v>
      </c>
      <c r="M16" s="8">
        <f t="shared" si="8"/>
        <v>2.843948214</v>
      </c>
      <c r="N16" s="8">
        <f t="shared" si="8"/>
        <v>3.643808649</v>
      </c>
      <c r="O16" s="8">
        <f t="shared" si="8"/>
        <v>3.587936917</v>
      </c>
      <c r="P16" s="8">
        <f t="shared" si="8"/>
        <v>1.874697039</v>
      </c>
      <c r="Q16" s="8">
        <f t="shared" si="8"/>
        <v>4.456422676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0.2641971061</v>
      </c>
      <c r="I17" s="14">
        <f>I14/(1+$B$29)^2</f>
        <v>0.2769202977</v>
      </c>
      <c r="J17" s="14">
        <f>J14/(1+$B$29)^3</f>
        <v>0.3004751753</v>
      </c>
      <c r="K17" s="14">
        <f>K14/(1+$B$29)^4</f>
        <v>0.2963110903</v>
      </c>
      <c r="L17" s="14">
        <f>L14/(1+$B$29)^5</f>
        <v>0.2817890765</v>
      </c>
      <c r="M17" s="14">
        <f>M14/(1+$B$29)^6</f>
        <v>0.1926244325</v>
      </c>
      <c r="N17" s="14">
        <f>N14/(1+$B$29)^7</f>
        <v>0.2310147256</v>
      </c>
      <c r="O17" s="14">
        <f>O14/(1+$B$29)^8</f>
        <v>0.2129233613</v>
      </c>
      <c r="P17" s="14">
        <f>P14/(1+$B$29)^9</f>
        <v>0.1041367505</v>
      </c>
      <c r="Q17" s="14">
        <f>Q14/(1+$B$29)^10</f>
        <v>0.2317147697</v>
      </c>
      <c r="R17" s="15">
        <f>(R14/(B29-R11))/(1+B29)^10</f>
        <v>3.761416389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0.04913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0.0192004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0.92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0.0683304</v>
      </c>
    </row>
    <row r="30" ht="15.75" customHeight="1"/>
    <row r="31" ht="15.75" customHeight="1">
      <c r="A31" s="3"/>
      <c r="B31" s="3"/>
      <c r="C31" s="24">
        <f>Optimistisch!C31</f>
        <v>45394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6.917990248</v>
      </c>
      <c r="D32" s="8">
        <f>SUM(H17:R17)</f>
        <v>6.153523174</v>
      </c>
    </row>
    <row r="33" ht="15.75" customHeight="1">
      <c r="A33" s="5"/>
      <c r="B33" s="5" t="s">
        <v>22</v>
      </c>
      <c r="C33" s="8">
        <f>Optimistisch!C33</f>
        <v>0.100698548</v>
      </c>
      <c r="D33" s="8">
        <f>C33</f>
        <v>0.100698548</v>
      </c>
    </row>
    <row r="34" ht="15.75" customHeight="1">
      <c r="A34" s="5"/>
      <c r="B34" s="5" t="s">
        <v>23</v>
      </c>
      <c r="C34" s="8">
        <f>Optimistisch!C34</f>
        <v>68.7</v>
      </c>
      <c r="D34" s="8">
        <f>D32/D33</f>
        <v>61.10836051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0.1242324197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17.0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75.75918548</v>
      </c>
    </row>
    <row r="43" ht="15.75" customHeight="1">
      <c r="A43" s="30"/>
      <c r="D43" s="18"/>
    </row>
    <row r="44" ht="15.75" customHeight="1">
      <c r="A44" s="30" t="s">
        <v>27</v>
      </c>
      <c r="D44" s="20">
        <v>0.5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16.8570396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90.08766914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0.3113197837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0.02747404821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Mainfreight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2.954087</v>
      </c>
      <c r="D10" s="7">
        <f>Optimistisch!D10</f>
        <v>3.095394</v>
      </c>
      <c r="E10" s="7">
        <f>Optimistisch!E10</f>
        <v>3.543838</v>
      </c>
      <c r="F10" s="7">
        <f>Optimistisch!F10</f>
        <v>5.218259</v>
      </c>
      <c r="G10" s="7">
        <f>Optimistisch!G10</f>
        <v>5.675709</v>
      </c>
      <c r="H10" s="8">
        <f t="shared" ref="H10:R10" si="2">G10*(1+H11)</f>
        <v>5.601924783</v>
      </c>
      <c r="I10" s="8">
        <f t="shared" si="2"/>
        <v>5.529099761</v>
      </c>
      <c r="J10" s="8">
        <f t="shared" si="2"/>
        <v>5.457221464</v>
      </c>
      <c r="K10" s="8">
        <f t="shared" si="2"/>
        <v>5.386277585</v>
      </c>
      <c r="L10" s="8">
        <f t="shared" si="2"/>
        <v>5.316255976</v>
      </c>
      <c r="M10" s="8">
        <f t="shared" si="2"/>
        <v>5.247144649</v>
      </c>
      <c r="N10" s="8">
        <f t="shared" si="2"/>
        <v>5.178931768</v>
      </c>
      <c r="O10" s="8">
        <f t="shared" si="2"/>
        <v>5.111605655</v>
      </c>
      <c r="P10" s="8">
        <f t="shared" si="2"/>
        <v>5.045154782</v>
      </c>
      <c r="Q10" s="8">
        <f t="shared" si="2"/>
        <v>4.97956777</v>
      </c>
      <c r="R10" s="8">
        <f t="shared" si="2"/>
        <v>5.079159125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0.04783440704</v>
      </c>
      <c r="E11" s="10">
        <f t="shared" si="3"/>
        <v>0.1448746105</v>
      </c>
      <c r="F11" s="10">
        <f t="shared" si="3"/>
        <v>0.4724880201</v>
      </c>
      <c r="G11" s="10">
        <f t="shared" si="3"/>
        <v>0.08766333752</v>
      </c>
      <c r="H11" s="11">
        <v>-0.013</v>
      </c>
      <c r="I11" s="11">
        <f t="shared" ref="I11:Q11" si="4">$H$11</f>
        <v>-0.013</v>
      </c>
      <c r="J11" s="11">
        <f t="shared" si="4"/>
        <v>-0.013</v>
      </c>
      <c r="K11" s="11">
        <f t="shared" si="4"/>
        <v>-0.013</v>
      </c>
      <c r="L11" s="11">
        <f t="shared" si="4"/>
        <v>-0.013</v>
      </c>
      <c r="M11" s="11">
        <f t="shared" si="4"/>
        <v>-0.013</v>
      </c>
      <c r="N11" s="11">
        <f t="shared" si="4"/>
        <v>-0.013</v>
      </c>
      <c r="O11" s="11">
        <f t="shared" si="4"/>
        <v>-0.013</v>
      </c>
      <c r="P11" s="11">
        <f t="shared" si="4"/>
        <v>-0.013</v>
      </c>
      <c r="Q11" s="11">
        <f t="shared" si="4"/>
        <v>-0.013</v>
      </c>
      <c r="R11" s="11">
        <f>Optimistisch!R11</f>
        <v>0.02</v>
      </c>
    </row>
    <row r="12" ht="15.75" customHeight="1">
      <c r="B12" s="2" t="s">
        <v>7</v>
      </c>
      <c r="C12" s="10">
        <f t="shared" ref="C12:G12" si="5">C13/C10</f>
        <v>0.06903723553</v>
      </c>
      <c r="D12" s="10">
        <f t="shared" si="5"/>
        <v>0.07417472541</v>
      </c>
      <c r="E12" s="10">
        <f t="shared" si="5"/>
        <v>0.08025649028</v>
      </c>
      <c r="F12" s="10">
        <f t="shared" si="5"/>
        <v>0.09781499922</v>
      </c>
      <c r="G12" s="10">
        <f t="shared" si="5"/>
        <v>0.1078348097</v>
      </c>
      <c r="H12" s="11">
        <f>Optimistisch!H12</f>
        <v>0.0866</v>
      </c>
      <c r="I12" s="11">
        <f>Optimistisch!I12</f>
        <v>0.0882</v>
      </c>
      <c r="J12" s="11">
        <f>Optimistisch!J12</f>
        <v>0.0918</v>
      </c>
      <c r="K12" s="11">
        <f>Optimistisch!K12</f>
        <v>0.0925</v>
      </c>
      <c r="L12" s="11">
        <f>Optimistisch!L12</f>
        <v>0.095</v>
      </c>
      <c r="M12" s="11">
        <f>Optimistisch!M12</f>
        <v>0.095</v>
      </c>
      <c r="N12" s="11">
        <f>Optimistisch!N12</f>
        <v>0.0975</v>
      </c>
      <c r="O12" s="11">
        <f>Optimistisch!O12</f>
        <v>0.085</v>
      </c>
      <c r="P12" s="11">
        <f>Optimistisch!P12</f>
        <v>0.105</v>
      </c>
      <c r="Q12" s="11">
        <f>Optimistisch!Q12</f>
        <v>0.115</v>
      </c>
      <c r="R12" s="11">
        <f>Optimistisch!R12</f>
        <v>0.11</v>
      </c>
    </row>
    <row r="13" ht="15.75" customHeight="1">
      <c r="B13" s="2" t="s">
        <v>8</v>
      </c>
      <c r="C13" s="7">
        <f>Optimistisch!C13</f>
        <v>0.203942</v>
      </c>
      <c r="D13" s="7">
        <f>Optimistisch!D13</f>
        <v>0.2296</v>
      </c>
      <c r="E13" s="7">
        <f>Optimistisch!E13</f>
        <v>0.284416</v>
      </c>
      <c r="F13" s="7">
        <f>Optimistisch!F13</f>
        <v>0.510424</v>
      </c>
      <c r="G13" s="7">
        <f>Optimistisch!G13</f>
        <v>0.612039</v>
      </c>
      <c r="H13" s="8">
        <f t="shared" ref="H13:R13" si="6">H10*H12</f>
        <v>0.4851266862</v>
      </c>
      <c r="I13" s="8">
        <f t="shared" si="6"/>
        <v>0.4876665989</v>
      </c>
      <c r="J13" s="8">
        <f t="shared" si="6"/>
        <v>0.5009729304</v>
      </c>
      <c r="K13" s="8">
        <f t="shared" si="6"/>
        <v>0.4982306766</v>
      </c>
      <c r="L13" s="8">
        <f t="shared" si="6"/>
        <v>0.5050443177</v>
      </c>
      <c r="M13" s="8">
        <f t="shared" si="6"/>
        <v>0.4984787416</v>
      </c>
      <c r="N13" s="8">
        <f t="shared" si="6"/>
        <v>0.5049458474</v>
      </c>
      <c r="O13" s="8">
        <f t="shared" si="6"/>
        <v>0.4344864807</v>
      </c>
      <c r="P13" s="8">
        <f t="shared" si="6"/>
        <v>0.5297412521</v>
      </c>
      <c r="Q13" s="8">
        <f t="shared" si="6"/>
        <v>0.5726502935</v>
      </c>
      <c r="R13" s="8">
        <f t="shared" si="6"/>
        <v>0.5587075037</v>
      </c>
    </row>
    <row r="14" ht="15.75" customHeight="1">
      <c r="A14" s="11">
        <f>Optimistisch!A14</f>
        <v>0.275</v>
      </c>
      <c r="B14" s="2" t="s">
        <v>9</v>
      </c>
      <c r="C14" s="7">
        <f>Optimistisch!C14</f>
        <v>0.137624</v>
      </c>
      <c r="D14" s="7">
        <f>Optimistisch!D14</f>
        <v>0.159201</v>
      </c>
      <c r="E14" s="7">
        <f>Optimistisch!E14</f>
        <v>0.18811</v>
      </c>
      <c r="F14" s="7">
        <f>Optimistisch!F14</f>
        <v>0.355397</v>
      </c>
      <c r="G14" s="7">
        <f>Optimistisch!G14</f>
        <v>0.426476</v>
      </c>
      <c r="H14" s="8">
        <f t="shared" ref="H14:R14" si="7">H13*(1-$A$14)</f>
        <v>0.3517168475</v>
      </c>
      <c r="I14" s="8">
        <f t="shared" si="7"/>
        <v>0.3535582842</v>
      </c>
      <c r="J14" s="8">
        <f t="shared" si="7"/>
        <v>0.3632053745</v>
      </c>
      <c r="K14" s="8">
        <f t="shared" si="7"/>
        <v>0.3612172405</v>
      </c>
      <c r="L14" s="8">
        <f t="shared" si="7"/>
        <v>0.3661571304</v>
      </c>
      <c r="M14" s="8">
        <f t="shared" si="7"/>
        <v>0.3613970877</v>
      </c>
      <c r="N14" s="8">
        <f t="shared" si="7"/>
        <v>0.3660857394</v>
      </c>
      <c r="O14" s="8">
        <f t="shared" si="7"/>
        <v>0.3150026985</v>
      </c>
      <c r="P14" s="8">
        <f t="shared" si="7"/>
        <v>0.3840624078</v>
      </c>
      <c r="Q14" s="8">
        <f t="shared" si="7"/>
        <v>0.4151714628</v>
      </c>
      <c r="R14" s="8">
        <f t="shared" si="7"/>
        <v>0.4050629402</v>
      </c>
    </row>
    <row r="15" ht="15.75" customHeight="1">
      <c r="A15" s="11">
        <f>Optimistisch!A15</f>
        <v>1</v>
      </c>
      <c r="B15" s="2" t="s">
        <v>10</v>
      </c>
      <c r="H15" s="8">
        <f>C33</f>
        <v>0.100698548</v>
      </c>
      <c r="I15" s="8">
        <f t="shared" ref="I15:Q15" si="8">H15*$A$15</f>
        <v>0.100698548</v>
      </c>
      <c r="J15" s="8">
        <f t="shared" si="8"/>
        <v>0.100698548</v>
      </c>
      <c r="K15" s="8">
        <f t="shared" si="8"/>
        <v>0.100698548</v>
      </c>
      <c r="L15" s="8">
        <f t="shared" si="8"/>
        <v>0.100698548</v>
      </c>
      <c r="M15" s="8">
        <f t="shared" si="8"/>
        <v>0.100698548</v>
      </c>
      <c r="N15" s="8">
        <f t="shared" si="8"/>
        <v>0.100698548</v>
      </c>
      <c r="O15" s="8">
        <f t="shared" si="8"/>
        <v>0.100698548</v>
      </c>
      <c r="P15" s="8">
        <f t="shared" si="8"/>
        <v>0.100698548</v>
      </c>
      <c r="Q15" s="8">
        <f t="shared" si="8"/>
        <v>0.100698548</v>
      </c>
      <c r="R15" s="6" t="s">
        <v>6</v>
      </c>
    </row>
    <row r="16" ht="15.75" customHeight="1">
      <c r="B16" s="2" t="s">
        <v>11</v>
      </c>
      <c r="H16" s="8">
        <f t="shared" ref="H16:Q16" si="9">H14/H15</f>
        <v>3.492769801</v>
      </c>
      <c r="I16" s="8">
        <f t="shared" si="9"/>
        <v>3.511056428</v>
      </c>
      <c r="J16" s="8">
        <f t="shared" si="9"/>
        <v>3.60685811</v>
      </c>
      <c r="K16" s="8">
        <f t="shared" si="9"/>
        <v>3.587114687</v>
      </c>
      <c r="L16" s="8">
        <f t="shared" si="9"/>
        <v>3.636170905</v>
      </c>
      <c r="M16" s="8">
        <f t="shared" si="9"/>
        <v>3.588900683</v>
      </c>
      <c r="N16" s="8">
        <f t="shared" si="9"/>
        <v>3.635461947</v>
      </c>
      <c r="O16" s="8">
        <f t="shared" si="9"/>
        <v>3.12817518</v>
      </c>
      <c r="P16" s="8">
        <f t="shared" si="9"/>
        <v>3.813981585</v>
      </c>
      <c r="Q16" s="8">
        <f t="shared" si="9"/>
        <v>4.122914094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0.329221042</v>
      </c>
      <c r="I17" s="14">
        <f>I14/(1+$B$29)^2</f>
        <v>0.3097774812</v>
      </c>
      <c r="J17" s="14">
        <f>J14/(1+$B$29)^3</f>
        <v>0.2978759952</v>
      </c>
      <c r="K17" s="14">
        <f>K14/(1+$B$29)^4</f>
        <v>0.2772976083</v>
      </c>
      <c r="L17" s="14">
        <f>L14/(1+$B$29)^5</f>
        <v>0.2631113375</v>
      </c>
      <c r="M17" s="14">
        <f>M14/(1+$B$29)^6</f>
        <v>0.2430810638</v>
      </c>
      <c r="N17" s="14">
        <f>N14/(1+$B$29)^7</f>
        <v>0.2304855509</v>
      </c>
      <c r="O17" s="14">
        <f>O14/(1+$B$29)^8</f>
        <v>0.1856391541</v>
      </c>
      <c r="P17" s="14">
        <f>P14/(1+$B$29)^9</f>
        <v>0.211861245</v>
      </c>
      <c r="Q17" s="14">
        <f>Q14/(1+$B$29)^10</f>
        <v>0.214373761</v>
      </c>
      <c r="R17" s="15">
        <f>(R14/(B29-R11))/(1+B29)^10</f>
        <v>4.327591453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0.04913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0.0192004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0.92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0.0683304</v>
      </c>
    </row>
    <row r="30" ht="15.75" customHeight="1"/>
    <row r="31" ht="15.75" customHeight="1">
      <c r="A31" s="3"/>
      <c r="B31" s="3"/>
      <c r="C31" s="24">
        <f>Optimistisch!C31</f>
        <v>45394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6.917990248</v>
      </c>
      <c r="D32" s="8">
        <f>SUM(H17:R17)</f>
        <v>6.890315692</v>
      </c>
    </row>
    <row r="33" ht="15.75" customHeight="1">
      <c r="A33" s="5"/>
      <c r="B33" s="5" t="s">
        <v>22</v>
      </c>
      <c r="C33" s="8">
        <f>Optimistisch!C33</f>
        <v>0.100698548</v>
      </c>
      <c r="D33" s="8">
        <f>C33</f>
        <v>0.100698548</v>
      </c>
    </row>
    <row r="34" ht="15.75" customHeight="1">
      <c r="A34" s="5"/>
      <c r="B34" s="5" t="s">
        <v>23</v>
      </c>
      <c r="C34" s="8">
        <f>Optimistisch!C34</f>
        <v>68.7</v>
      </c>
      <c r="D34" s="8">
        <f>D32/D33</f>
        <v>68.42517423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0.004016442336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40.0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164.9165638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0.6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21.67404205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183.3394995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1.668697227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0.1031382168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Mainfreight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2019</v>
      </c>
      <c r="D9" s="2">
        <f t="shared" ref="D9:M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R9" s="9"/>
    </row>
    <row r="10" ht="15.75" customHeight="1">
      <c r="B10" s="2" t="s">
        <v>4</v>
      </c>
      <c r="C10" s="7">
        <f>Optimistisch!C10</f>
        <v>2.954087</v>
      </c>
      <c r="D10" s="7">
        <f>Optimistisch!D10</f>
        <v>3.095394</v>
      </c>
      <c r="E10" s="7">
        <f>Optimistisch!E10</f>
        <v>3.543838</v>
      </c>
      <c r="F10" s="7">
        <f>Optimistisch!F10</f>
        <v>5.218259</v>
      </c>
      <c r="G10" s="7">
        <f>Optimistisch!G10</f>
        <v>5.675709</v>
      </c>
      <c r="H10" s="8">
        <f>Optimistisch!H10</f>
        <v>4.858</v>
      </c>
      <c r="I10" s="8">
        <f>Optimistisch!I10</f>
        <v>5.366</v>
      </c>
      <c r="J10" s="8">
        <f>Optimistisch!J10</f>
        <v>5.938</v>
      </c>
      <c r="K10" s="8">
        <f>(Optimistisch!K10+Pessimistisch!K10)/2</f>
        <v>6.427885</v>
      </c>
      <c r="L10" s="8">
        <f>(Optimistisch!L10+Pessimistisch!L10)/2</f>
        <v>6.847182025</v>
      </c>
      <c r="M10" s="8">
        <f>(Optimistisch!M10+Pessimistisch!M10)/2</f>
        <v>7.36279675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G11" si="2">C12/C10</f>
        <v>0.03715191868</v>
      </c>
      <c r="D11" s="10">
        <f t="shared" si="2"/>
        <v>0.05088657534</v>
      </c>
      <c r="E11" s="10">
        <f t="shared" si="2"/>
        <v>0.07681897423</v>
      </c>
      <c r="F11" s="10">
        <f t="shared" si="2"/>
        <v>0.06283494169</v>
      </c>
      <c r="G11" s="10">
        <f t="shared" si="2"/>
        <v>0.07993961635</v>
      </c>
      <c r="H11" s="11">
        <v>-9.0E-4</v>
      </c>
      <c r="I11" s="11">
        <v>0.0267</v>
      </c>
      <c r="J11" s="11">
        <v>0.0187</v>
      </c>
      <c r="K11" s="11">
        <v>0.0325</v>
      </c>
      <c r="L11" s="11">
        <v>0.045</v>
      </c>
      <c r="M11" s="11">
        <v>0.06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v>0.10974999999999999</v>
      </c>
      <c r="D12" s="7">
        <v>0.15751400000000002</v>
      </c>
      <c r="E12" s="7">
        <v>0.272234</v>
      </c>
      <c r="F12" s="7">
        <v>0.32788900000000004</v>
      </c>
      <c r="G12" s="7">
        <v>0.453714</v>
      </c>
      <c r="H12" s="8">
        <f t="shared" ref="H12:M12" si="3">H10*H11</f>
        <v>-0.0043722</v>
      </c>
      <c r="I12" s="8">
        <f t="shared" si="3"/>
        <v>0.1432722</v>
      </c>
      <c r="J12" s="8">
        <f t="shared" si="3"/>
        <v>0.1110406</v>
      </c>
      <c r="K12" s="8">
        <f t="shared" si="3"/>
        <v>0.2089062625</v>
      </c>
      <c r="L12" s="8">
        <f t="shared" si="3"/>
        <v>0.3081231911</v>
      </c>
      <c r="M12" s="8">
        <f t="shared" si="3"/>
        <v>0.441767805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-0.004097082338</v>
      </c>
      <c r="I13" s="14">
        <f>I12/(1+$B$37)^2</f>
        <v>0.1258088735</v>
      </c>
      <c r="J13" s="14">
        <f>J12/(1+$B$37)^3</f>
        <v>0.09137046093</v>
      </c>
      <c r="K13" s="14">
        <f>K12/(1+$B$37)^4</f>
        <v>0.1610831624</v>
      </c>
      <c r="L13" s="14">
        <f>L12/(1+$B$37)^5</f>
        <v>0.222637208</v>
      </c>
      <c r="M13" s="15">
        <f>(M12/(B37-B39))/(1+B37)^5</f>
        <v>6.770003763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0.04913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0.0192004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21">
        <f>Optimistisch!B27</f>
        <v>0.92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0.0683304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21">
        <f>C42</f>
        <v>6.917990248</v>
      </c>
    </row>
    <row r="30" ht="15.75" customHeight="1">
      <c r="A30" s="30"/>
      <c r="B30" s="18"/>
    </row>
    <row r="31" ht="15.75" customHeight="1">
      <c r="A31" s="30" t="s">
        <v>36</v>
      </c>
      <c r="B31" s="21">
        <v>0.190469</v>
      </c>
    </row>
    <row r="32" ht="15.75" customHeight="1">
      <c r="A32" s="30"/>
      <c r="B32" s="18"/>
    </row>
    <row r="33" ht="15.75" customHeight="1">
      <c r="A33" s="30" t="s">
        <v>37</v>
      </c>
      <c r="B33" s="20">
        <v>0.0337</v>
      </c>
    </row>
    <row r="34" ht="15.75" customHeight="1">
      <c r="A34" s="30"/>
      <c r="B34" s="18"/>
    </row>
    <row r="35" ht="15.75" customHeight="1">
      <c r="A35" s="30" t="s">
        <v>38</v>
      </c>
      <c r="B35" s="20">
        <v>0.28</v>
      </c>
    </row>
    <row r="36" ht="15.75" customHeight="1">
      <c r="A36" s="30"/>
      <c r="B36" s="18"/>
    </row>
    <row r="37" ht="15.75" customHeight="1">
      <c r="A37" s="34" t="s">
        <v>39</v>
      </c>
      <c r="B37" s="23">
        <f>B25*(B29/(B29+B31))+B33*(B31/(B29+B31))*(1-B35)</f>
        <v>0.06714965424</v>
      </c>
    </row>
    <row r="38" ht="15.75" customHeight="1">
      <c r="B38" s="10"/>
    </row>
    <row r="39" ht="15.75" customHeight="1">
      <c r="A39" s="2" t="s">
        <v>40</v>
      </c>
      <c r="B39" s="10">
        <v>0.02</v>
      </c>
    </row>
    <row r="40" ht="15.75" customHeight="1"/>
    <row r="41" ht="15.75" customHeight="1">
      <c r="A41" s="3"/>
      <c r="B41" s="3"/>
      <c r="C41" s="24">
        <f>Optimistisch!C31</f>
        <v>45394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6.917990248</v>
      </c>
      <c r="D42" s="8">
        <f>SUM(H13:M13)-B31</f>
        <v>7.176337385</v>
      </c>
    </row>
    <row r="43" ht="15.75" customHeight="1">
      <c r="A43" s="5"/>
      <c r="B43" s="5" t="s">
        <v>22</v>
      </c>
      <c r="C43" s="8">
        <f>Optimistisch!C33</f>
        <v>0.100698548</v>
      </c>
      <c r="D43" s="8">
        <f>C43</f>
        <v>0.100698548</v>
      </c>
    </row>
    <row r="44" ht="15.75" customHeight="1">
      <c r="A44" s="5"/>
      <c r="B44" s="5" t="s">
        <v>23</v>
      </c>
      <c r="C44" s="8">
        <f>Optimistisch!C34</f>
        <v>68.7</v>
      </c>
      <c r="D44" s="8">
        <f>D42/D43</f>
        <v>71.26554978</v>
      </c>
    </row>
    <row r="45" ht="15.75" customHeight="1">
      <c r="A45" s="5"/>
      <c r="B45" s="5" t="s">
        <v>24</v>
      </c>
      <c r="C45" s="5"/>
      <c r="D45" s="11">
        <f>IF(C44/D44-1&gt;0,0,C44/D44-1)*-1</f>
        <v>0.03599985951</v>
      </c>
    </row>
    <row r="46" ht="15.75" customHeight="1">
      <c r="A46" s="5"/>
      <c r="B46" s="5" t="s">
        <v>25</v>
      </c>
      <c r="C46" s="5"/>
      <c r="D46" s="11">
        <f>IF(C44/D44-1&lt;0,0,C44/D44-1)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