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timistisch" sheetId="1" r:id="rId4"/>
    <sheet state="visible" name="Pessimistisch" sheetId="2" r:id="rId5"/>
    <sheet state="visible" name="Wachstum für Faire Bewertung" sheetId="3" r:id="rId6"/>
    <sheet state="visible" name="DCF" sheetId="4" r:id="rId7"/>
  </sheets>
  <definedNames/>
  <calcPr/>
  <extLst>
    <ext uri="GoogleSheetsCustomDataVersion2">
      <go:sheetsCustomData xmlns:go="http://customooxmlschemas.google.com/" r:id="rId8" roundtripDataChecksum="Xzxe2dm4EwUNykh42AObXWnNBWE2DHtpm+GBzC6/Cds="/>
    </ext>
  </extLst>
</workbook>
</file>

<file path=xl/sharedStrings.xml><?xml version="1.0" encoding="utf-8"?>
<sst xmlns="http://schemas.openxmlformats.org/spreadsheetml/2006/main" count="118" uniqueCount="41">
  <si>
    <t>Discounted Net-Profit Modell</t>
  </si>
  <si>
    <t>Annahmen für Techtronic Industries</t>
  </si>
  <si>
    <t>Alle Angaben in Mrd.</t>
  </si>
  <si>
    <t>Schätzungen »</t>
  </si>
  <si>
    <t>Umsatz</t>
  </si>
  <si>
    <t>Umsatzwachstum</t>
  </si>
  <si>
    <t>-</t>
  </si>
  <si>
    <t>EBIT Marge</t>
  </si>
  <si>
    <t>EBIT</t>
  </si>
  <si>
    <t>Gewinn (abzgl. Steuern, Zinsen)</t>
  </si>
  <si>
    <t>Anzahl an Aktien (abzgl. Aktienrückkäufe)</t>
  </si>
  <si>
    <t>Gewinn je Aktie</t>
  </si>
  <si>
    <t>Abgezinster Gewinn</t>
  </si>
  <si>
    <t>Berechnung der Eigenkapitalkosten:</t>
  </si>
  <si>
    <t>Risikoloser Basiszins:</t>
  </si>
  <si>
    <t>Risikoprämie:</t>
  </si>
  <si>
    <t>Marktrendite:</t>
  </si>
  <si>
    <t>Beta-Faktor:</t>
  </si>
  <si>
    <t>Eigenkapitalkosten:</t>
  </si>
  <si>
    <t>Fairer Wert</t>
  </si>
  <si>
    <t>Bewertung</t>
  </si>
  <si>
    <t>Marktkapitalisierung</t>
  </si>
  <si>
    <t>Anzahl an Aktien</t>
  </si>
  <si>
    <t>Kurs je Aktie</t>
  </si>
  <si>
    <t>Unterbewertung</t>
  </si>
  <si>
    <t>Überbewertung</t>
  </si>
  <si>
    <t>Berechnung der Renditeerwartung:</t>
  </si>
  <si>
    <t>Durchschnittliche Ausschüttungsquote:</t>
  </si>
  <si>
    <t>Ausgeschüttete Gewinne:</t>
  </si>
  <si>
    <t>Quellensteuer</t>
  </si>
  <si>
    <t>Discounted Cashflow Modell</t>
  </si>
  <si>
    <t>Free Cashflow Marge</t>
  </si>
  <si>
    <t>Free Cashflow</t>
  </si>
  <si>
    <t>Abgezinster Free Cashflow</t>
  </si>
  <si>
    <t>Berechnung der WACC:</t>
  </si>
  <si>
    <t>Marktkapitalisierung:</t>
  </si>
  <si>
    <t>Verzinstes Fremdkapital:</t>
  </si>
  <si>
    <t>Zinsrate (durchschnittlich):</t>
  </si>
  <si>
    <t>Steuerrate (durchschnittlich):</t>
  </si>
  <si>
    <t>WACC:</t>
  </si>
  <si>
    <t>Wachstumsabschlag: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</si>
</sst>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b/>
      <sz val="20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>
      <sz val="12.0"/>
      <color theme="0"/>
      <name val="Calibri"/>
    </font>
    <font>
      <u/>
      <sz val="12.0"/>
      <color theme="1"/>
      <name val="Calibri"/>
    </font>
    <font>
      <u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2" fontId="4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horizontal="right"/>
    </xf>
    <xf borderId="0" fillId="0" fontId="3" numFmtId="2" xfId="0" applyFont="1" applyNumberFormat="1"/>
    <xf borderId="1" fillId="3" fontId="3" numFmtId="2" xfId="0" applyBorder="1" applyFont="1" applyNumberFormat="1"/>
    <xf borderId="0" fillId="0" fontId="3" numFmtId="0" xfId="0" applyAlignment="1" applyFont="1">
      <alignment horizontal="right"/>
    </xf>
    <xf borderId="0" fillId="0" fontId="3" numFmtId="10" xfId="0" applyFont="1" applyNumberFormat="1"/>
    <xf borderId="1" fillId="3" fontId="3" numFmtId="10" xfId="0" applyBorder="1" applyFont="1" applyNumberFormat="1"/>
    <xf borderId="2" fillId="0" fontId="3" numFmtId="0" xfId="0" applyBorder="1" applyFont="1"/>
    <xf borderId="3" fillId="0" fontId="3" numFmtId="0" xfId="0" applyBorder="1" applyFont="1"/>
    <xf borderId="4" fillId="4" fontId="3" numFmtId="2" xfId="0" applyBorder="1" applyFill="1" applyFont="1" applyNumberFormat="1"/>
    <xf borderId="5" fillId="4" fontId="3" numFmtId="2" xfId="0" applyBorder="1" applyFont="1" applyNumberFormat="1"/>
    <xf borderId="6" fillId="0" fontId="5" numFmtId="0" xfId="0" applyBorder="1" applyFont="1"/>
    <xf borderId="7" fillId="0" fontId="3" numFmtId="0" xfId="0" applyBorder="1" applyFont="1"/>
    <xf borderId="8" fillId="0" fontId="3" numFmtId="0" xfId="0" applyBorder="1" applyFont="1"/>
    <xf borderId="8" fillId="0" fontId="3" numFmtId="10" xfId="0" applyAlignment="1" applyBorder="1" applyFont="1" applyNumberFormat="1">
      <alignment readingOrder="0"/>
    </xf>
    <xf borderId="8" fillId="0" fontId="3" numFmtId="10" xfId="0" applyBorder="1" applyFont="1" applyNumberFormat="1"/>
    <xf borderId="8" fillId="0" fontId="3" numFmtId="2" xfId="0" applyBorder="1" applyFont="1" applyNumberFormat="1"/>
    <xf borderId="9" fillId="0" fontId="3" numFmtId="0" xfId="0" applyBorder="1" applyFont="1"/>
    <xf borderId="10" fillId="0" fontId="3" numFmtId="10" xfId="0" applyBorder="1" applyFont="1" applyNumberFormat="1"/>
    <xf borderId="1" fillId="2" fontId="4" numFmtId="14" xfId="0" applyAlignment="1" applyBorder="1" applyFont="1" applyNumberFormat="1">
      <alignment horizontal="right"/>
    </xf>
    <xf borderId="1" fillId="2" fontId="4" numFmtId="0" xfId="0" applyAlignment="1" applyBorder="1" applyFont="1">
      <alignment horizontal="right"/>
    </xf>
    <xf borderId="1" fillId="3" fontId="3" numFmtId="2" xfId="0" applyAlignment="1" applyBorder="1" applyFont="1" applyNumberFormat="1">
      <alignment readingOrder="0"/>
    </xf>
    <xf borderId="1" fillId="4" fontId="3" numFmtId="0" xfId="0" applyBorder="1" applyFont="1"/>
    <xf borderId="11" fillId="0" fontId="6" numFmtId="0" xfId="0" applyBorder="1" applyFont="1"/>
    <xf borderId="6" fillId="0" fontId="3" numFmtId="0" xfId="0" applyBorder="1" applyFont="1"/>
    <xf borderId="12" fillId="0" fontId="3" numFmtId="0" xfId="0" applyBorder="1" applyFont="1"/>
    <xf borderId="13" fillId="3" fontId="3" numFmtId="0" xfId="0" applyBorder="1" applyFont="1"/>
    <xf borderId="14" fillId="3" fontId="3" numFmtId="0" xfId="0" applyBorder="1" applyFont="1"/>
    <xf borderId="15" fillId="3" fontId="3" numFmtId="10" xfId="0" applyBorder="1" applyFont="1" applyNumberFormat="1"/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">
        <v>1</v>
      </c>
    </row>
    <row r="5" ht="15.75" customHeight="1"/>
    <row r="6" ht="15.75" customHeight="1">
      <c r="B6" s="2" t="s">
        <v>2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v>2019.0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v>7.666721</v>
      </c>
      <c r="D10" s="7">
        <v>9.811941</v>
      </c>
      <c r="E10" s="7">
        <v>13.203161</v>
      </c>
      <c r="F10" s="7">
        <v>13.253917</v>
      </c>
      <c r="G10" s="7">
        <v>13.731411</v>
      </c>
      <c r="H10" s="8">
        <v>14.65</v>
      </c>
      <c r="I10" s="8">
        <v>15.964</v>
      </c>
      <c r="J10" s="8">
        <v>17.697</v>
      </c>
      <c r="K10" s="8">
        <f t="shared" ref="K10:R10" si="2">J10*(1+K11)</f>
        <v>19.555185</v>
      </c>
      <c r="L10" s="8">
        <f t="shared" si="2"/>
        <v>21.5107035</v>
      </c>
      <c r="M10" s="8">
        <f t="shared" si="2"/>
        <v>22.90889923</v>
      </c>
      <c r="N10" s="8">
        <f t="shared" si="2"/>
        <v>24.97070016</v>
      </c>
      <c r="O10" s="8">
        <f t="shared" si="2"/>
        <v>26.96835617</v>
      </c>
      <c r="P10" s="8">
        <f t="shared" si="2"/>
        <v>28.99098288</v>
      </c>
      <c r="Q10" s="8">
        <f t="shared" si="2"/>
        <v>30.73044186</v>
      </c>
      <c r="R10" s="8">
        <f t="shared" si="2"/>
        <v>31.34505069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0.2798093214</v>
      </c>
      <c r="E11" s="10">
        <f t="shared" si="3"/>
        <v>0.3456217276</v>
      </c>
      <c r="F11" s="10">
        <f t="shared" si="3"/>
        <v>0.003844230938</v>
      </c>
      <c r="G11" s="10">
        <f t="shared" si="3"/>
        <v>0.03602663273</v>
      </c>
      <c r="H11" s="11">
        <f t="shared" si="3"/>
        <v>0.06689691249</v>
      </c>
      <c r="I11" s="11">
        <f t="shared" si="3"/>
        <v>0.08969283276</v>
      </c>
      <c r="J11" s="11">
        <f t="shared" si="3"/>
        <v>0.1085567527</v>
      </c>
      <c r="K11" s="11">
        <v>0.105</v>
      </c>
      <c r="L11" s="11">
        <v>0.1</v>
      </c>
      <c r="M11" s="11">
        <v>0.065</v>
      </c>
      <c r="N11" s="11">
        <v>0.09</v>
      </c>
      <c r="O11" s="11">
        <v>0.08</v>
      </c>
      <c r="P11" s="11">
        <v>0.075</v>
      </c>
      <c r="Q11" s="11">
        <v>0.06</v>
      </c>
      <c r="R11" s="11">
        <v>0.02</v>
      </c>
    </row>
    <row r="12" ht="15.75" customHeight="1">
      <c r="B12" s="2" t="s">
        <v>7</v>
      </c>
      <c r="C12" s="10">
        <f t="shared" ref="C12:J12" si="4">C13/C10</f>
        <v>0.08644282217</v>
      </c>
      <c r="D12" s="10">
        <f t="shared" si="4"/>
        <v>0.08735203361</v>
      </c>
      <c r="E12" s="10">
        <f t="shared" si="4"/>
        <v>0.08928225597</v>
      </c>
      <c r="F12" s="10">
        <f t="shared" si="4"/>
        <v>0.08958808177</v>
      </c>
      <c r="G12" s="10">
        <f t="shared" si="4"/>
        <v>0.08140962353</v>
      </c>
      <c r="H12" s="11">
        <f t="shared" si="4"/>
        <v>0.0871</v>
      </c>
      <c r="I12" s="11">
        <f t="shared" si="4"/>
        <v>0.0923</v>
      </c>
      <c r="J12" s="11">
        <f t="shared" si="4"/>
        <v>0.0985</v>
      </c>
      <c r="K12" s="11">
        <v>0.1</v>
      </c>
      <c r="L12" s="11">
        <v>0.1025</v>
      </c>
      <c r="M12" s="11">
        <v>0.1075</v>
      </c>
      <c r="N12" s="11">
        <v>0.0925</v>
      </c>
      <c r="O12" s="11">
        <v>0.095</v>
      </c>
      <c r="P12" s="11">
        <v>0.11</v>
      </c>
      <c r="Q12" s="11">
        <v>0.115</v>
      </c>
      <c r="R12" s="11">
        <v>0.105</v>
      </c>
    </row>
    <row r="13" ht="15.75" customHeight="1">
      <c r="B13" s="2" t="s">
        <v>8</v>
      </c>
      <c r="C13" s="7">
        <v>0.6627329999999999</v>
      </c>
      <c r="D13" s="7">
        <v>0.857093</v>
      </c>
      <c r="E13" s="7">
        <v>1.1788080000000003</v>
      </c>
      <c r="F13" s="7">
        <v>1.1873930000000001</v>
      </c>
      <c r="G13" s="7">
        <v>1.117869</v>
      </c>
      <c r="H13" s="8">
        <v>1.276015</v>
      </c>
      <c r="I13" s="8">
        <v>1.4734771999999998</v>
      </c>
      <c r="J13" s="8">
        <v>1.7431545</v>
      </c>
      <c r="K13" s="8">
        <f t="shared" ref="K13:R13" si="5">K10*K12</f>
        <v>1.9555185</v>
      </c>
      <c r="L13" s="8">
        <f t="shared" si="5"/>
        <v>2.204847109</v>
      </c>
      <c r="M13" s="8">
        <f t="shared" si="5"/>
        <v>2.462706667</v>
      </c>
      <c r="N13" s="8">
        <f t="shared" si="5"/>
        <v>2.309789765</v>
      </c>
      <c r="O13" s="8">
        <f t="shared" si="5"/>
        <v>2.561993836</v>
      </c>
      <c r="P13" s="8">
        <f t="shared" si="5"/>
        <v>3.189008117</v>
      </c>
      <c r="Q13" s="8">
        <f t="shared" si="5"/>
        <v>3.534000813</v>
      </c>
      <c r="R13" s="8">
        <f t="shared" si="5"/>
        <v>3.291230323</v>
      </c>
    </row>
    <row r="14" ht="15.75" customHeight="1">
      <c r="A14" s="11">
        <v>0.15</v>
      </c>
      <c r="B14" s="2" t="s">
        <v>9</v>
      </c>
      <c r="C14" s="7">
        <v>0.614996</v>
      </c>
      <c r="D14" s="7">
        <v>0.800996</v>
      </c>
      <c r="E14" s="7">
        <v>1.099101</v>
      </c>
      <c r="F14" s="7">
        <v>1.077151</v>
      </c>
      <c r="G14" s="7">
        <v>0.97634</v>
      </c>
      <c r="H14" s="8">
        <v>1.1383050000000001</v>
      </c>
      <c r="I14" s="8">
        <v>1.348958</v>
      </c>
      <c r="J14" s="8">
        <v>1.5927299999999998</v>
      </c>
      <c r="K14" s="8">
        <f t="shared" ref="K14:R14" si="6">K13*(1-$A$14)</f>
        <v>1.662190725</v>
      </c>
      <c r="L14" s="8">
        <f t="shared" si="6"/>
        <v>1.874120042</v>
      </c>
      <c r="M14" s="8">
        <f t="shared" si="6"/>
        <v>2.093300667</v>
      </c>
      <c r="N14" s="8">
        <f t="shared" si="6"/>
        <v>1.9633213</v>
      </c>
      <c r="O14" s="8">
        <f t="shared" si="6"/>
        <v>2.177694761</v>
      </c>
      <c r="P14" s="8">
        <f t="shared" si="6"/>
        <v>2.7106569</v>
      </c>
      <c r="Q14" s="8">
        <f t="shared" si="6"/>
        <v>3.003900691</v>
      </c>
      <c r="R14" s="8">
        <f t="shared" si="6"/>
        <v>2.797545774</v>
      </c>
    </row>
    <row r="15" ht="15.75" customHeight="1">
      <c r="A15" s="11">
        <v>0.995</v>
      </c>
      <c r="B15" s="2" t="s">
        <v>10</v>
      </c>
      <c r="H15" s="8">
        <f>C33</f>
        <v>0.3667215882</v>
      </c>
      <c r="I15" s="8">
        <f t="shared" ref="I15:Q15" si="7">H15*$A$15</f>
        <v>0.3648879803</v>
      </c>
      <c r="J15" s="8">
        <f t="shared" si="7"/>
        <v>0.3630635404</v>
      </c>
      <c r="K15" s="8">
        <f t="shared" si="7"/>
        <v>0.3612482227</v>
      </c>
      <c r="L15" s="8">
        <f t="shared" si="7"/>
        <v>0.3594419815</v>
      </c>
      <c r="M15" s="8">
        <f t="shared" si="7"/>
        <v>0.3576447716</v>
      </c>
      <c r="N15" s="8">
        <f t="shared" si="7"/>
        <v>0.3558565478</v>
      </c>
      <c r="O15" s="8">
        <f t="shared" si="7"/>
        <v>0.354077265</v>
      </c>
      <c r="P15" s="8">
        <f t="shared" si="7"/>
        <v>0.3523068787</v>
      </c>
      <c r="Q15" s="8">
        <f t="shared" si="7"/>
        <v>0.3505453443</v>
      </c>
      <c r="R15" s="6" t="s">
        <v>6</v>
      </c>
    </row>
    <row r="16" ht="15.75" customHeight="1">
      <c r="B16" s="2" t="s">
        <v>11</v>
      </c>
      <c r="H16" s="8">
        <f t="shared" ref="H16:Q16" si="8">H14/H15</f>
        <v>3.104003246</v>
      </c>
      <c r="I16" s="8">
        <f t="shared" si="8"/>
        <v>3.696909937</v>
      </c>
      <c r="J16" s="8">
        <f t="shared" si="8"/>
        <v>4.386918054</v>
      </c>
      <c r="K16" s="8">
        <f t="shared" si="8"/>
        <v>4.601242638</v>
      </c>
      <c r="L16" s="8">
        <f t="shared" si="8"/>
        <v>5.213970929</v>
      </c>
      <c r="M16" s="8">
        <f t="shared" si="8"/>
        <v>5.853016269</v>
      </c>
      <c r="N16" s="8">
        <f t="shared" si="8"/>
        <v>5.517170647</v>
      </c>
      <c r="O16" s="8">
        <f t="shared" si="8"/>
        <v>6.150337725</v>
      </c>
      <c r="P16" s="8">
        <f t="shared" si="8"/>
        <v>7.694022068</v>
      </c>
      <c r="Q16" s="8">
        <f t="shared" si="8"/>
        <v>8.569221472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1.052694027</v>
      </c>
      <c r="I17" s="14">
        <f>I14/(1+$B$29)^2</f>
        <v>1.153680251</v>
      </c>
      <c r="J17" s="14">
        <f>J14/(1+$B$29)^3</f>
        <v>1.259716175</v>
      </c>
      <c r="K17" s="14">
        <f>K14/(1+$B$29)^4</f>
        <v>1.215779777</v>
      </c>
      <c r="L17" s="14">
        <f>L14/(1+$B$29)^5</f>
        <v>1.267695594</v>
      </c>
      <c r="M17" s="14">
        <f>M14/(1+$B$29)^6</f>
        <v>1.309461405</v>
      </c>
      <c r="N17" s="14">
        <f>N14/(1+$B$29)^7</f>
        <v>1.135784622</v>
      </c>
      <c r="O17" s="14">
        <f>O14/(1+$B$29)^8</f>
        <v>1.16505151</v>
      </c>
      <c r="P17" s="14">
        <f>P14/(1+$B$29)^9</f>
        <v>1.341115514</v>
      </c>
      <c r="Q17" s="14">
        <f>Q14/(1+$B$29)^10</f>
        <v>1.374423974</v>
      </c>
      <c r="R17" s="15">
        <f>(R14/(B29-R11))/(1+B29)^10</f>
        <v>20.87231145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v>0.03568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0.0456456</v>
      </c>
    </row>
    <row r="24" ht="15.75" customHeight="1">
      <c r="B24" s="18"/>
    </row>
    <row r="25" ht="15.75" customHeight="1">
      <c r="A25" s="2" t="s">
        <v>16</v>
      </c>
      <c r="B25" s="20">
        <v>0.07</v>
      </c>
    </row>
    <row r="26" ht="15.75" customHeight="1">
      <c r="B26" s="18"/>
    </row>
    <row r="27" ht="15.75" customHeight="1">
      <c r="A27" s="2" t="s">
        <v>17</v>
      </c>
      <c r="B27" s="21">
        <v>1.33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0.0813256</v>
      </c>
    </row>
    <row r="30" ht="15.75" customHeight="1"/>
    <row r="31" ht="15.75" customHeight="1">
      <c r="A31" s="3"/>
      <c r="B31" s="3"/>
      <c r="C31" s="24">
        <v>45464.0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21.6365737</v>
      </c>
      <c r="D32" s="8">
        <f>SUM(H17:R17)</f>
        <v>33.1477143</v>
      </c>
    </row>
    <row r="33" ht="15.75" customHeight="1">
      <c r="A33" s="5"/>
      <c r="B33" s="5" t="s">
        <v>22</v>
      </c>
      <c r="C33" s="8">
        <f>1.833607941/5</f>
        <v>0.3667215882</v>
      </c>
      <c r="D33" s="8">
        <f>C33</f>
        <v>0.3667215882</v>
      </c>
    </row>
    <row r="34" ht="15.75" customHeight="1">
      <c r="A34" s="5"/>
      <c r="B34" s="5" t="s">
        <v>23</v>
      </c>
      <c r="C34" s="26">
        <v>59.0</v>
      </c>
      <c r="D34" s="8">
        <f>D32/D33</f>
        <v>90.38931812</v>
      </c>
    </row>
    <row r="35" ht="15.75" customHeight="1">
      <c r="A35" s="5"/>
      <c r="B35" s="5" t="s">
        <v>24</v>
      </c>
      <c r="C35" s="5"/>
      <c r="D35" s="11">
        <f>IF(C34/D34-1&gt;0,0,C34/D34-1)*-1</f>
        <v>0.3472680044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21.0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179.9536509</v>
      </c>
    </row>
    <row r="43" ht="15.75" customHeight="1">
      <c r="A43" s="30"/>
      <c r="D43" s="18"/>
    </row>
    <row r="44" ht="15.75" customHeight="1">
      <c r="A44" s="30" t="s">
        <v>27</v>
      </c>
      <c r="D44" s="20">
        <v>0.5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27.39340649</v>
      </c>
    </row>
    <row r="47" ht="15.75" customHeight="1">
      <c r="A47" s="30"/>
      <c r="D47" s="18"/>
    </row>
    <row r="48" ht="15.75" customHeight="1">
      <c r="A48" s="30" t="s">
        <v>29</v>
      </c>
      <c r="D48" s="20">
        <v>0.0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207.3470574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2.514356905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0.1339256685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Techtronic Industries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7.666721</v>
      </c>
      <c r="D10" s="7">
        <f>Optimistisch!D10</f>
        <v>9.811941</v>
      </c>
      <c r="E10" s="7">
        <f>Optimistisch!E10</f>
        <v>13.203161</v>
      </c>
      <c r="F10" s="7">
        <f>Optimistisch!F10</f>
        <v>13.253917</v>
      </c>
      <c r="G10" s="7">
        <f>Optimistisch!G10</f>
        <v>13.731411</v>
      </c>
      <c r="H10" s="8">
        <f>Optimistisch!H10</f>
        <v>14.65</v>
      </c>
      <c r="I10" s="8">
        <f>Optimistisch!I10</f>
        <v>15.964</v>
      </c>
      <c r="J10" s="8">
        <f>Optimistisch!J10</f>
        <v>17.697</v>
      </c>
      <c r="K10" s="8">
        <f t="shared" ref="K10:R10" si="2">J10*(1+K11)</f>
        <v>18.139425</v>
      </c>
      <c r="L10" s="8">
        <f t="shared" si="2"/>
        <v>19.590579</v>
      </c>
      <c r="M10" s="8">
        <f t="shared" si="2"/>
        <v>20.37420216</v>
      </c>
      <c r="N10" s="8">
        <f t="shared" si="2"/>
        <v>21.90226732</v>
      </c>
      <c r="O10" s="8">
        <f t="shared" si="2"/>
        <v>23.21640336</v>
      </c>
      <c r="P10" s="8">
        <f t="shared" si="2"/>
        <v>24.49330555</v>
      </c>
      <c r="Q10" s="8">
        <f t="shared" si="2"/>
        <v>25.22810471</v>
      </c>
      <c r="R10" s="8">
        <f t="shared" si="2"/>
        <v>25.60652628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0.2798093214</v>
      </c>
      <c r="E11" s="10">
        <f t="shared" si="3"/>
        <v>0.3456217276</v>
      </c>
      <c r="F11" s="10">
        <f t="shared" si="3"/>
        <v>0.003844230938</v>
      </c>
      <c r="G11" s="10">
        <f t="shared" si="3"/>
        <v>0.03602663273</v>
      </c>
      <c r="H11" s="11">
        <f t="shared" si="3"/>
        <v>0.06689691249</v>
      </c>
      <c r="I11" s="11">
        <f t="shared" si="3"/>
        <v>0.08969283276</v>
      </c>
      <c r="J11" s="11">
        <f t="shared" si="3"/>
        <v>0.1085567527</v>
      </c>
      <c r="K11" s="11">
        <v>0.025</v>
      </c>
      <c r="L11" s="11">
        <v>0.08</v>
      </c>
      <c r="M11" s="11">
        <v>0.04</v>
      </c>
      <c r="N11" s="11">
        <v>0.075</v>
      </c>
      <c r="O11" s="11">
        <v>0.06</v>
      </c>
      <c r="P11" s="11">
        <v>0.055</v>
      </c>
      <c r="Q11" s="11">
        <v>0.03</v>
      </c>
      <c r="R11" s="11">
        <v>0.015</v>
      </c>
    </row>
    <row r="12" ht="15.75" customHeight="1">
      <c r="B12" s="2" t="s">
        <v>7</v>
      </c>
      <c r="C12" s="10">
        <f t="shared" ref="C12:J12" si="4">C13/C10</f>
        <v>0.08644282217</v>
      </c>
      <c r="D12" s="10">
        <f t="shared" si="4"/>
        <v>0.08735203361</v>
      </c>
      <c r="E12" s="10">
        <f t="shared" si="4"/>
        <v>0.08928225597</v>
      </c>
      <c r="F12" s="10">
        <f t="shared" si="4"/>
        <v>0.08958808177</v>
      </c>
      <c r="G12" s="10">
        <f t="shared" si="4"/>
        <v>0.08140962353</v>
      </c>
      <c r="H12" s="11">
        <f t="shared" si="4"/>
        <v>0.0871</v>
      </c>
      <c r="I12" s="11">
        <f t="shared" si="4"/>
        <v>0.0923</v>
      </c>
      <c r="J12" s="11">
        <f t="shared" si="4"/>
        <v>0.0985</v>
      </c>
      <c r="K12" s="11">
        <v>0.08</v>
      </c>
      <c r="L12" s="11">
        <v>0.095</v>
      </c>
      <c r="M12" s="11">
        <v>0.0925</v>
      </c>
      <c r="N12" s="11">
        <v>0.075</v>
      </c>
      <c r="O12" s="11">
        <v>0.09</v>
      </c>
      <c r="P12" s="11">
        <v>0.0875</v>
      </c>
      <c r="Q12" s="11">
        <v>0.085</v>
      </c>
      <c r="R12" s="11">
        <v>0.09</v>
      </c>
    </row>
    <row r="13" ht="15.75" customHeight="1">
      <c r="B13" s="2" t="s">
        <v>8</v>
      </c>
      <c r="C13" s="7">
        <f>Optimistisch!C13</f>
        <v>0.662733</v>
      </c>
      <c r="D13" s="7">
        <f>Optimistisch!D13</f>
        <v>0.857093</v>
      </c>
      <c r="E13" s="7">
        <f>Optimistisch!E13</f>
        <v>1.178808</v>
      </c>
      <c r="F13" s="7">
        <f>Optimistisch!F13</f>
        <v>1.187393</v>
      </c>
      <c r="G13" s="7">
        <f>Optimistisch!G13</f>
        <v>1.117869</v>
      </c>
      <c r="H13" s="8">
        <f>Optimistisch!H13</f>
        <v>1.276015</v>
      </c>
      <c r="I13" s="8">
        <f>Optimistisch!I13</f>
        <v>1.4734772</v>
      </c>
      <c r="J13" s="8">
        <f>Optimistisch!J13</f>
        <v>1.7431545</v>
      </c>
      <c r="K13" s="8">
        <f t="shared" ref="K13:R13" si="5">K10*K12</f>
        <v>1.451154</v>
      </c>
      <c r="L13" s="8">
        <f t="shared" si="5"/>
        <v>1.861105005</v>
      </c>
      <c r="M13" s="8">
        <f t="shared" si="5"/>
        <v>1.8846137</v>
      </c>
      <c r="N13" s="8">
        <f t="shared" si="5"/>
        <v>1.642670049</v>
      </c>
      <c r="O13" s="8">
        <f t="shared" si="5"/>
        <v>2.089476303</v>
      </c>
      <c r="P13" s="8">
        <f t="shared" si="5"/>
        <v>2.143164235</v>
      </c>
      <c r="Q13" s="8">
        <f t="shared" si="5"/>
        <v>2.144388901</v>
      </c>
      <c r="R13" s="8">
        <f t="shared" si="5"/>
        <v>2.304587365</v>
      </c>
    </row>
    <row r="14" ht="15.75" customHeight="1">
      <c r="A14" s="11">
        <v>0.2</v>
      </c>
      <c r="B14" s="2" t="s">
        <v>9</v>
      </c>
      <c r="C14" s="7">
        <f>Optimistisch!C14</f>
        <v>0.614996</v>
      </c>
      <c r="D14" s="7">
        <f>Optimistisch!D14</f>
        <v>0.800996</v>
      </c>
      <c r="E14" s="7">
        <f>Optimistisch!E14</f>
        <v>1.099101</v>
      </c>
      <c r="F14" s="7">
        <f>Optimistisch!F14</f>
        <v>1.077151</v>
      </c>
      <c r="G14" s="7">
        <f>Optimistisch!G14</f>
        <v>0.97634</v>
      </c>
      <c r="H14" s="8">
        <f>Optimistisch!H14</f>
        <v>1.138305</v>
      </c>
      <c r="I14" s="8">
        <f>Optimistisch!I14</f>
        <v>1.348958</v>
      </c>
      <c r="J14" s="8">
        <f>Optimistisch!J14</f>
        <v>1.59273</v>
      </c>
      <c r="K14" s="8">
        <f t="shared" ref="K14:R14" si="6">K13*(1-$A$14)</f>
        <v>1.1609232</v>
      </c>
      <c r="L14" s="8">
        <f t="shared" si="6"/>
        <v>1.488884004</v>
      </c>
      <c r="M14" s="8">
        <f t="shared" si="6"/>
        <v>1.50769096</v>
      </c>
      <c r="N14" s="8">
        <f t="shared" si="6"/>
        <v>1.314136039</v>
      </c>
      <c r="O14" s="8">
        <f t="shared" si="6"/>
        <v>1.671581042</v>
      </c>
      <c r="P14" s="8">
        <f t="shared" si="6"/>
        <v>1.714531388</v>
      </c>
      <c r="Q14" s="8">
        <f t="shared" si="6"/>
        <v>1.71551112</v>
      </c>
      <c r="R14" s="8">
        <f t="shared" si="6"/>
        <v>1.843669892</v>
      </c>
    </row>
    <row r="15" ht="15.75" customHeight="1">
      <c r="A15" s="11">
        <v>1.0</v>
      </c>
      <c r="B15" s="2" t="s">
        <v>10</v>
      </c>
      <c r="H15" s="8">
        <f>C33</f>
        <v>0.3667215882</v>
      </c>
      <c r="I15" s="8">
        <f t="shared" ref="I15:Q15" si="7">H15*$A$15</f>
        <v>0.3667215882</v>
      </c>
      <c r="J15" s="8">
        <f t="shared" si="7"/>
        <v>0.3667215882</v>
      </c>
      <c r="K15" s="8">
        <f t="shared" si="7"/>
        <v>0.3667215882</v>
      </c>
      <c r="L15" s="8">
        <f t="shared" si="7"/>
        <v>0.3667215882</v>
      </c>
      <c r="M15" s="8">
        <f t="shared" si="7"/>
        <v>0.3667215882</v>
      </c>
      <c r="N15" s="8">
        <f t="shared" si="7"/>
        <v>0.3667215882</v>
      </c>
      <c r="O15" s="8">
        <f t="shared" si="7"/>
        <v>0.3667215882</v>
      </c>
      <c r="P15" s="8">
        <f t="shared" si="7"/>
        <v>0.3667215882</v>
      </c>
      <c r="Q15" s="8">
        <f t="shared" si="7"/>
        <v>0.3667215882</v>
      </c>
      <c r="R15" s="6" t="s">
        <v>6</v>
      </c>
    </row>
    <row r="16" ht="15.75" customHeight="1">
      <c r="B16" s="2" t="s">
        <v>11</v>
      </c>
      <c r="H16" s="8">
        <f t="shared" ref="H16:Q16" si="8">H14/H15</f>
        <v>3.104003246</v>
      </c>
      <c r="I16" s="8">
        <f t="shared" si="8"/>
        <v>3.678425387</v>
      </c>
      <c r="J16" s="8">
        <f t="shared" si="8"/>
        <v>4.343158547</v>
      </c>
      <c r="K16" s="8">
        <f t="shared" si="8"/>
        <v>3.165680007</v>
      </c>
      <c r="L16" s="8">
        <f t="shared" si="8"/>
        <v>4.059984609</v>
      </c>
      <c r="M16" s="8">
        <f t="shared" si="8"/>
        <v>4.111268625</v>
      </c>
      <c r="N16" s="8">
        <f t="shared" si="8"/>
        <v>3.583470626</v>
      </c>
      <c r="O16" s="8">
        <f t="shared" si="8"/>
        <v>4.558174637</v>
      </c>
      <c r="P16" s="8">
        <f t="shared" si="8"/>
        <v>4.675294402</v>
      </c>
      <c r="Q16" s="8">
        <f t="shared" si="8"/>
        <v>4.677965998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1.052694027</v>
      </c>
      <c r="I17" s="14">
        <f>I14/(1+$B$29)^2</f>
        <v>1.153680251</v>
      </c>
      <c r="J17" s="14">
        <f>J14/(1+$B$29)^3</f>
        <v>1.259716175</v>
      </c>
      <c r="K17" s="14">
        <f>K14/(1+$B$29)^4</f>
        <v>0.8491365809</v>
      </c>
      <c r="L17" s="14">
        <f>L14/(1+$B$29)^5</f>
        <v>1.007113551</v>
      </c>
      <c r="M17" s="14">
        <f>M14/(1+$B$29)^6</f>
        <v>0.9431340436</v>
      </c>
      <c r="N17" s="14">
        <f>N14/(1+$B$29)^7</f>
        <v>0.7602298738</v>
      </c>
      <c r="O17" s="14">
        <f>O14/(1+$B$29)^8</f>
        <v>0.8942842003</v>
      </c>
      <c r="P17" s="14">
        <f>P14/(1+$B$29)^9</f>
        <v>0.8482757978</v>
      </c>
      <c r="Q17" s="14">
        <f>Q14/(1+$B$29)^10</f>
        <v>0.7849259528</v>
      </c>
      <c r="R17" s="15">
        <f>(R14/(B29-R11))/(1+B29)^10</f>
        <v>12.71853611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20">
        <f>Optimistisch!B21</f>
        <v>0.03568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0.0456456</v>
      </c>
    </row>
    <row r="24" ht="15.75" customHeight="1">
      <c r="B24" s="18"/>
    </row>
    <row r="25" ht="15.75" customHeight="1">
      <c r="A25" s="2" t="s">
        <v>16</v>
      </c>
      <c r="B25" s="20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1">
        <f>Optimistisch!B27</f>
        <v>1.33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0.0813256</v>
      </c>
    </row>
    <row r="30" ht="15.75" customHeight="1"/>
    <row r="31" ht="15.75" customHeight="1">
      <c r="A31" s="3"/>
      <c r="B31" s="3"/>
      <c r="C31" s="24">
        <f>Optimistisch!C31</f>
        <v>45464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21.6365737</v>
      </c>
      <c r="D32" s="8">
        <f>SUM(H17:R17)</f>
        <v>22.27172656</v>
      </c>
    </row>
    <row r="33" ht="15.75" customHeight="1">
      <c r="A33" s="5"/>
      <c r="B33" s="5" t="s">
        <v>22</v>
      </c>
      <c r="C33" s="8">
        <f>Optimistisch!C33</f>
        <v>0.3667215882</v>
      </c>
      <c r="D33" s="8">
        <f>C33</f>
        <v>0.3667215882</v>
      </c>
    </row>
    <row r="34" ht="15.75" customHeight="1">
      <c r="A34" s="5"/>
      <c r="B34" s="5" t="s">
        <v>23</v>
      </c>
      <c r="C34" s="8">
        <f>Optimistisch!C34</f>
        <v>59</v>
      </c>
      <c r="D34" s="8">
        <f>D32/D33</f>
        <v>60.73197565</v>
      </c>
    </row>
    <row r="35" ht="15.75" customHeight="1">
      <c r="A35" s="5"/>
      <c r="B35" s="5" t="s">
        <v>24</v>
      </c>
      <c r="C35" s="5"/>
      <c r="D35" s="11">
        <f>IF(C34/D34-1&gt;0,0,C34/D34-1)*-1</f>
        <v>0.02851834849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16.0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74.84745597</v>
      </c>
    </row>
    <row r="43" ht="15.75" customHeight="1">
      <c r="A43" s="30"/>
      <c r="D43" s="18"/>
    </row>
    <row r="44" ht="15.75" customHeight="1">
      <c r="A44" s="30" t="s">
        <v>27</v>
      </c>
      <c r="D44" s="20">
        <v>0.4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15.98297043</v>
      </c>
    </row>
    <row r="47" ht="15.75" customHeight="1">
      <c r="A47" s="30"/>
      <c r="D47" s="18"/>
    </row>
    <row r="48" ht="15.75" customHeight="1">
      <c r="A48" s="30" t="s">
        <v>29</v>
      </c>
      <c r="D48" s="20">
        <f>Optimistisch!D48</f>
        <v>0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90.83042641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0.5394987527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0.04408999496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Techtronic Industries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7.666721</v>
      </c>
      <c r="D10" s="7">
        <f>Optimistisch!D10</f>
        <v>9.811941</v>
      </c>
      <c r="E10" s="7">
        <f>Optimistisch!E10</f>
        <v>13.203161</v>
      </c>
      <c r="F10" s="7">
        <f>Optimistisch!F10</f>
        <v>13.253917</v>
      </c>
      <c r="G10" s="7">
        <f>Optimistisch!G10</f>
        <v>13.731411</v>
      </c>
      <c r="H10" s="8">
        <f t="shared" ref="H10:R10" si="2">G10*(1+H11)</f>
        <v>14.21201039</v>
      </c>
      <c r="I10" s="8">
        <f t="shared" si="2"/>
        <v>14.70943075</v>
      </c>
      <c r="J10" s="8">
        <f t="shared" si="2"/>
        <v>15.22426082</v>
      </c>
      <c r="K10" s="8">
        <f t="shared" si="2"/>
        <v>15.75710995</v>
      </c>
      <c r="L10" s="8">
        <f t="shared" si="2"/>
        <v>16.3086088</v>
      </c>
      <c r="M10" s="8">
        <f t="shared" si="2"/>
        <v>16.87941011</v>
      </c>
      <c r="N10" s="8">
        <f t="shared" si="2"/>
        <v>17.47018946</v>
      </c>
      <c r="O10" s="8">
        <f t="shared" si="2"/>
        <v>18.0816461</v>
      </c>
      <c r="P10" s="8">
        <f t="shared" si="2"/>
        <v>18.71450371</v>
      </c>
      <c r="Q10" s="8">
        <f t="shared" si="2"/>
        <v>19.36951134</v>
      </c>
      <c r="R10" s="8">
        <f t="shared" si="2"/>
        <v>19.75690156</v>
      </c>
    </row>
    <row r="11" ht="15.75" customHeight="1">
      <c r="B11" s="2" t="s">
        <v>5</v>
      </c>
      <c r="C11" s="9" t="s">
        <v>6</v>
      </c>
      <c r="D11" s="10">
        <f t="shared" ref="D11:G11" si="3">D10/C10-1</f>
        <v>0.2798093214</v>
      </c>
      <c r="E11" s="10">
        <f t="shared" si="3"/>
        <v>0.3456217276</v>
      </c>
      <c r="F11" s="10">
        <f t="shared" si="3"/>
        <v>0.003844230938</v>
      </c>
      <c r="G11" s="10">
        <f t="shared" si="3"/>
        <v>0.03602663273</v>
      </c>
      <c r="H11" s="11">
        <v>0.035</v>
      </c>
      <c r="I11" s="11">
        <f t="shared" ref="I11:Q11" si="4">$H$11</f>
        <v>0.035</v>
      </c>
      <c r="J11" s="11">
        <f t="shared" si="4"/>
        <v>0.035</v>
      </c>
      <c r="K11" s="11">
        <f t="shared" si="4"/>
        <v>0.035</v>
      </c>
      <c r="L11" s="11">
        <f t="shared" si="4"/>
        <v>0.035</v>
      </c>
      <c r="M11" s="11">
        <f t="shared" si="4"/>
        <v>0.035</v>
      </c>
      <c r="N11" s="11">
        <f t="shared" si="4"/>
        <v>0.035</v>
      </c>
      <c r="O11" s="11">
        <f t="shared" si="4"/>
        <v>0.035</v>
      </c>
      <c r="P11" s="11">
        <f t="shared" si="4"/>
        <v>0.035</v>
      </c>
      <c r="Q11" s="11">
        <f t="shared" si="4"/>
        <v>0.035</v>
      </c>
      <c r="R11" s="11">
        <f>Optimistisch!R11</f>
        <v>0.02</v>
      </c>
    </row>
    <row r="12" ht="15.75" customHeight="1">
      <c r="B12" s="2" t="s">
        <v>7</v>
      </c>
      <c r="C12" s="10">
        <f t="shared" ref="C12:G12" si="5">C13/C10</f>
        <v>0.08644282217</v>
      </c>
      <c r="D12" s="10">
        <f t="shared" si="5"/>
        <v>0.08735203361</v>
      </c>
      <c r="E12" s="10">
        <f t="shared" si="5"/>
        <v>0.08928225597</v>
      </c>
      <c r="F12" s="10">
        <f t="shared" si="5"/>
        <v>0.08958808177</v>
      </c>
      <c r="G12" s="10">
        <f t="shared" si="5"/>
        <v>0.08140962353</v>
      </c>
      <c r="H12" s="11">
        <f>Optimistisch!H12</f>
        <v>0.0871</v>
      </c>
      <c r="I12" s="11">
        <f>Optimistisch!I12</f>
        <v>0.0923</v>
      </c>
      <c r="J12" s="11">
        <f>Optimistisch!J12</f>
        <v>0.0985</v>
      </c>
      <c r="K12" s="11">
        <f>Optimistisch!K12</f>
        <v>0.1</v>
      </c>
      <c r="L12" s="11">
        <f>Optimistisch!L12</f>
        <v>0.1025</v>
      </c>
      <c r="M12" s="11">
        <f>Optimistisch!M12</f>
        <v>0.1075</v>
      </c>
      <c r="N12" s="11">
        <f>Optimistisch!N12</f>
        <v>0.0925</v>
      </c>
      <c r="O12" s="11">
        <f>Optimistisch!O12</f>
        <v>0.095</v>
      </c>
      <c r="P12" s="11">
        <f>Optimistisch!P12</f>
        <v>0.11</v>
      </c>
      <c r="Q12" s="11">
        <f>Optimistisch!Q12</f>
        <v>0.115</v>
      </c>
      <c r="R12" s="11">
        <f>Optimistisch!R12</f>
        <v>0.105</v>
      </c>
    </row>
    <row r="13" ht="15.75" customHeight="1">
      <c r="B13" s="2" t="s">
        <v>8</v>
      </c>
      <c r="C13" s="7">
        <f>Optimistisch!C13</f>
        <v>0.662733</v>
      </c>
      <c r="D13" s="7">
        <f>Optimistisch!D13</f>
        <v>0.857093</v>
      </c>
      <c r="E13" s="7">
        <f>Optimistisch!E13</f>
        <v>1.178808</v>
      </c>
      <c r="F13" s="7">
        <f>Optimistisch!F13</f>
        <v>1.187393</v>
      </c>
      <c r="G13" s="7">
        <f>Optimistisch!G13</f>
        <v>1.117869</v>
      </c>
      <c r="H13" s="8">
        <f t="shared" ref="H13:R13" si="6">H10*H12</f>
        <v>1.237866105</v>
      </c>
      <c r="I13" s="8">
        <f t="shared" si="6"/>
        <v>1.357680458</v>
      </c>
      <c r="J13" s="8">
        <f t="shared" si="6"/>
        <v>1.499589691</v>
      </c>
      <c r="K13" s="8">
        <f t="shared" si="6"/>
        <v>1.575710995</v>
      </c>
      <c r="L13" s="8">
        <f t="shared" si="6"/>
        <v>1.671632402</v>
      </c>
      <c r="M13" s="8">
        <f t="shared" si="6"/>
        <v>1.814536587</v>
      </c>
      <c r="N13" s="8">
        <f t="shared" si="6"/>
        <v>1.615992525</v>
      </c>
      <c r="O13" s="8">
        <f t="shared" si="6"/>
        <v>1.717756379</v>
      </c>
      <c r="P13" s="8">
        <f t="shared" si="6"/>
        <v>2.058595408</v>
      </c>
      <c r="Q13" s="8">
        <f t="shared" si="6"/>
        <v>2.227493804</v>
      </c>
      <c r="R13" s="8">
        <f t="shared" si="6"/>
        <v>2.074474664</v>
      </c>
    </row>
    <row r="14" ht="15.75" customHeight="1">
      <c r="A14" s="11">
        <f>Optimistisch!A14</f>
        <v>0.15</v>
      </c>
      <c r="B14" s="2" t="s">
        <v>9</v>
      </c>
      <c r="C14" s="7">
        <f>Optimistisch!C14</f>
        <v>0.614996</v>
      </c>
      <c r="D14" s="7">
        <f>Optimistisch!D14</f>
        <v>0.800996</v>
      </c>
      <c r="E14" s="7">
        <f>Optimistisch!E14</f>
        <v>1.099101</v>
      </c>
      <c r="F14" s="7">
        <f>Optimistisch!F14</f>
        <v>1.077151</v>
      </c>
      <c r="G14" s="7">
        <f>Optimistisch!G14</f>
        <v>0.97634</v>
      </c>
      <c r="H14" s="8">
        <f t="shared" ref="H14:R14" si="7">H13*(1-$A$14)</f>
        <v>1.052186189</v>
      </c>
      <c r="I14" s="8">
        <f t="shared" si="7"/>
        <v>1.154028389</v>
      </c>
      <c r="J14" s="8">
        <f t="shared" si="7"/>
        <v>1.274651238</v>
      </c>
      <c r="K14" s="8">
        <f t="shared" si="7"/>
        <v>1.339354346</v>
      </c>
      <c r="L14" s="8">
        <f t="shared" si="7"/>
        <v>1.420887542</v>
      </c>
      <c r="M14" s="8">
        <f t="shared" si="7"/>
        <v>1.542356099</v>
      </c>
      <c r="N14" s="8">
        <f t="shared" si="7"/>
        <v>1.373593647</v>
      </c>
      <c r="O14" s="8">
        <f t="shared" si="7"/>
        <v>1.460092922</v>
      </c>
      <c r="P14" s="8">
        <f t="shared" si="7"/>
        <v>1.749806097</v>
      </c>
      <c r="Q14" s="8">
        <f t="shared" si="7"/>
        <v>1.893369733</v>
      </c>
      <c r="R14" s="8">
        <f t="shared" si="7"/>
        <v>1.763303465</v>
      </c>
    </row>
    <row r="15" ht="15.75" customHeight="1">
      <c r="A15" s="11">
        <f>Optimistisch!A15</f>
        <v>0.995</v>
      </c>
      <c r="B15" s="2" t="s">
        <v>10</v>
      </c>
      <c r="H15" s="8">
        <f>C33</f>
        <v>0.3667215882</v>
      </c>
      <c r="I15" s="8">
        <f t="shared" ref="I15:Q15" si="8">H15*$A$15</f>
        <v>0.3648879803</v>
      </c>
      <c r="J15" s="8">
        <f t="shared" si="8"/>
        <v>0.3630635404</v>
      </c>
      <c r="K15" s="8">
        <f t="shared" si="8"/>
        <v>0.3612482227</v>
      </c>
      <c r="L15" s="8">
        <f t="shared" si="8"/>
        <v>0.3594419815</v>
      </c>
      <c r="M15" s="8">
        <f t="shared" si="8"/>
        <v>0.3576447716</v>
      </c>
      <c r="N15" s="8">
        <f t="shared" si="8"/>
        <v>0.3558565478</v>
      </c>
      <c r="O15" s="8">
        <f t="shared" si="8"/>
        <v>0.354077265</v>
      </c>
      <c r="P15" s="8">
        <f t="shared" si="8"/>
        <v>0.3523068787</v>
      </c>
      <c r="Q15" s="8">
        <f t="shared" si="8"/>
        <v>0.3505453443</v>
      </c>
      <c r="R15" s="6" t="s">
        <v>6</v>
      </c>
    </row>
    <row r="16" ht="15.75" customHeight="1">
      <c r="B16" s="2" t="s">
        <v>11</v>
      </c>
      <c r="H16" s="8">
        <f t="shared" ref="H16:Q16" si="9">H14/H15</f>
        <v>2.869168936</v>
      </c>
      <c r="I16" s="8">
        <f t="shared" si="9"/>
        <v>3.162692256</v>
      </c>
      <c r="J16" s="8">
        <f t="shared" si="9"/>
        <v>3.510821374</v>
      </c>
      <c r="K16" s="8">
        <f t="shared" si="9"/>
        <v>3.707573524</v>
      </c>
      <c r="L16" s="8">
        <f t="shared" si="9"/>
        <v>3.953037249</v>
      </c>
      <c r="M16" s="8">
        <f t="shared" si="9"/>
        <v>4.312536408</v>
      </c>
      <c r="N16" s="8">
        <f t="shared" si="9"/>
        <v>3.859964514</v>
      </c>
      <c r="O16" s="8">
        <f t="shared" si="9"/>
        <v>4.123656236</v>
      </c>
      <c r="P16" s="8">
        <f t="shared" si="9"/>
        <v>4.966709998</v>
      </c>
      <c r="Q16" s="8">
        <f t="shared" si="9"/>
        <v>5.401212037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0.9730521398</v>
      </c>
      <c r="I17" s="14">
        <f>I14/(1+$B$29)^2</f>
        <v>0.9869690249</v>
      </c>
      <c r="J17" s="14">
        <f>J14/(1+$B$29)^3</f>
        <v>1.008142486</v>
      </c>
      <c r="K17" s="14">
        <f>K14/(1+$B$29)^4</f>
        <v>0.9796468621</v>
      </c>
      <c r="L17" s="14">
        <f>L14/(1+$B$29)^5</f>
        <v>0.961119264</v>
      </c>
      <c r="M17" s="14">
        <f>M14/(1+$B$29)^6</f>
        <v>0.9648187744</v>
      </c>
      <c r="N17" s="14">
        <f>N14/(1+$B$29)^7</f>
        <v>0.794626198</v>
      </c>
      <c r="O17" s="14">
        <f>O14/(1+$B$29)^8</f>
        <v>0.7811395311</v>
      </c>
      <c r="P17" s="14">
        <f>P14/(1+$B$29)^9</f>
        <v>0.8657281943</v>
      </c>
      <c r="Q17" s="14">
        <f>Q14/(1+$B$29)^10</f>
        <v>0.8663045224</v>
      </c>
      <c r="R17" s="15">
        <f>(R14/(B29-R11))/(1+B29)^10</f>
        <v>13.15589523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20">
        <f>Optimistisch!B21</f>
        <v>0.03568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0.0456456</v>
      </c>
    </row>
    <row r="24" ht="15.75" customHeight="1">
      <c r="B24" s="18"/>
    </row>
    <row r="25" ht="15.75" customHeight="1">
      <c r="A25" s="2" t="s">
        <v>16</v>
      </c>
      <c r="B25" s="20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1">
        <f>Optimistisch!B27</f>
        <v>1.33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0.0813256</v>
      </c>
    </row>
    <row r="30" ht="15.75" customHeight="1"/>
    <row r="31" ht="15.75" customHeight="1">
      <c r="A31" s="3"/>
      <c r="B31" s="3"/>
      <c r="C31" s="24">
        <f>Optimistisch!C31</f>
        <v>45464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21.6365737</v>
      </c>
      <c r="D32" s="8">
        <f>SUM(H17:R17)</f>
        <v>22.33744222</v>
      </c>
    </row>
    <row r="33" ht="15.75" customHeight="1">
      <c r="A33" s="5"/>
      <c r="B33" s="5" t="s">
        <v>22</v>
      </c>
      <c r="C33" s="8">
        <f>Optimistisch!C33</f>
        <v>0.3667215882</v>
      </c>
      <c r="D33" s="8">
        <f>C33</f>
        <v>0.3667215882</v>
      </c>
    </row>
    <row r="34" ht="15.75" customHeight="1">
      <c r="A34" s="5"/>
      <c r="B34" s="5" t="s">
        <v>23</v>
      </c>
      <c r="C34" s="8">
        <f>Optimistisch!C34</f>
        <v>59</v>
      </c>
      <c r="D34" s="8">
        <f>D32/D33</f>
        <v>60.91117333</v>
      </c>
    </row>
    <row r="35" ht="15.75" customHeight="1">
      <c r="A35" s="5"/>
      <c r="B35" s="5" t="s">
        <v>24</v>
      </c>
      <c r="C35" s="5"/>
      <c r="D35" s="11">
        <f>IF(C34/D34-1&gt;0,0,C34/D34-1)*-1</f>
        <v>0.03137639983</v>
      </c>
    </row>
    <row r="36" ht="15.75" customHeight="1">
      <c r="A36" s="5"/>
      <c r="B36" s="5" t="s">
        <v>25</v>
      </c>
      <c r="C36" s="5"/>
      <c r="D36" s="11">
        <f>IF(C34/D34-1&lt;0,0,C34/D34-1)</f>
        <v>0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25.5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137.7309069</v>
      </c>
    </row>
    <row r="43" ht="15.75" customHeight="1">
      <c r="A43" s="30"/>
      <c r="D43" s="18"/>
    </row>
    <row r="44" ht="15.75" customHeight="1">
      <c r="A44" s="30" t="s">
        <v>27</v>
      </c>
      <c r="D44" s="20">
        <f>Optimistisch!D44</f>
        <v>0.5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19.93368627</v>
      </c>
    </row>
    <row r="47" ht="15.75" customHeight="1">
      <c r="A47" s="30"/>
      <c r="D47" s="18"/>
    </row>
    <row r="48" ht="15.75" customHeight="1">
      <c r="A48" s="30" t="s">
        <v>29</v>
      </c>
      <c r="D48" s="20">
        <f>Optimistisch!D48</f>
        <v>0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157.6645932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1.672281241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0.1032862769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4" width="10.33"/>
    <col customWidth="1" hidden="1" min="15" max="18" width="10.33"/>
    <col customWidth="1" min="19" max="26" width="8.33"/>
  </cols>
  <sheetData>
    <row r="1" ht="15.75" customHeight="1"/>
    <row r="2" ht="15.75" customHeight="1">
      <c r="B2" s="1" t="s">
        <v>30</v>
      </c>
    </row>
    <row r="3" ht="15.75" customHeight="1"/>
    <row r="4" ht="15.75" customHeight="1">
      <c r="B4" s="2" t="str">
        <f>Optimistisch!B4</f>
        <v>Annahmen für Techtronic Industries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</row>
    <row r="9" ht="15.75" customHeight="1">
      <c r="C9" s="2">
        <f>Optimistisch!C9</f>
        <v>2019</v>
      </c>
      <c r="D9" s="2">
        <f t="shared" ref="D9:M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R9" s="9"/>
    </row>
    <row r="10" ht="15.75" customHeight="1">
      <c r="B10" s="2" t="s">
        <v>4</v>
      </c>
      <c r="C10" s="7">
        <f>Optimistisch!C10</f>
        <v>7.666721</v>
      </c>
      <c r="D10" s="7">
        <f>Optimistisch!D10</f>
        <v>9.811941</v>
      </c>
      <c r="E10" s="7">
        <f>Optimistisch!E10</f>
        <v>13.203161</v>
      </c>
      <c r="F10" s="7">
        <f>Optimistisch!F10</f>
        <v>13.253917</v>
      </c>
      <c r="G10" s="7">
        <f>Optimistisch!G10</f>
        <v>13.731411</v>
      </c>
      <c r="H10" s="8">
        <f>Optimistisch!H10</f>
        <v>14.65</v>
      </c>
      <c r="I10" s="8">
        <f>Optimistisch!I10</f>
        <v>15.964</v>
      </c>
      <c r="J10" s="8">
        <f>Optimistisch!J10</f>
        <v>17.697</v>
      </c>
      <c r="K10" s="8">
        <f>(Optimistisch!K10+Pessimistisch!K10)/2</f>
        <v>18.847305</v>
      </c>
      <c r="L10" s="8">
        <f>(Optimistisch!L10+Pessimistisch!L10)/2</f>
        <v>20.55064125</v>
      </c>
      <c r="M10" s="8">
        <f>(Optimistisch!M10+Pessimistisch!M10)/2</f>
        <v>21.64155069</v>
      </c>
      <c r="N10" s="7"/>
      <c r="O10" s="7"/>
      <c r="P10" s="7"/>
      <c r="Q10" s="7"/>
      <c r="R10" s="7"/>
    </row>
    <row r="11" ht="15.75" customHeight="1">
      <c r="B11" s="2" t="s">
        <v>31</v>
      </c>
      <c r="C11" s="10">
        <v>0.0349</v>
      </c>
      <c r="D11" s="10">
        <v>0.0714</v>
      </c>
      <c r="E11" s="10">
        <v>-0.0853</v>
      </c>
      <c r="F11" s="10">
        <v>0.0492</v>
      </c>
      <c r="G11" s="10">
        <v>0.1167</v>
      </c>
      <c r="H11" s="11">
        <v>0.0758</v>
      </c>
      <c r="I11" s="11">
        <v>0.0946</v>
      </c>
      <c r="J11" s="11">
        <v>0.0803</v>
      </c>
      <c r="K11" s="11">
        <v>0.06</v>
      </c>
      <c r="L11" s="11">
        <v>0.095</v>
      </c>
      <c r="M11" s="11">
        <v>0.075</v>
      </c>
      <c r="N11" s="10"/>
      <c r="O11" s="10"/>
      <c r="P11" s="10"/>
      <c r="Q11" s="10"/>
      <c r="R11" s="10"/>
    </row>
    <row r="12" ht="15.75" customHeight="1">
      <c r="B12" s="2" t="s">
        <v>32</v>
      </c>
      <c r="C12" s="7">
        <f t="shared" ref="C12:M12" si="2">C10*C11</f>
        <v>0.2675685629</v>
      </c>
      <c r="D12" s="7">
        <f t="shared" si="2"/>
        <v>0.7005725874</v>
      </c>
      <c r="E12" s="7">
        <f t="shared" si="2"/>
        <v>-1.126229633</v>
      </c>
      <c r="F12" s="7">
        <f t="shared" si="2"/>
        <v>0.6520927164</v>
      </c>
      <c r="G12" s="7">
        <f t="shared" si="2"/>
        <v>1.602455664</v>
      </c>
      <c r="H12" s="8">
        <f t="shared" si="2"/>
        <v>1.11047</v>
      </c>
      <c r="I12" s="8">
        <f t="shared" si="2"/>
        <v>1.5101944</v>
      </c>
      <c r="J12" s="8">
        <f t="shared" si="2"/>
        <v>1.4210691</v>
      </c>
      <c r="K12" s="8">
        <f t="shared" si="2"/>
        <v>1.1308383</v>
      </c>
      <c r="L12" s="8">
        <f t="shared" si="2"/>
        <v>1.952310919</v>
      </c>
      <c r="M12" s="8">
        <f t="shared" si="2"/>
        <v>1.623116302</v>
      </c>
      <c r="N12" s="7"/>
      <c r="O12" s="7"/>
      <c r="P12" s="7"/>
      <c r="Q12" s="7"/>
      <c r="R12" s="7"/>
    </row>
    <row r="13" ht="15.75" customHeight="1">
      <c r="F13" s="12" t="s">
        <v>33</v>
      </c>
      <c r="G13" s="13"/>
      <c r="H13" s="14">
        <f>H12/(1+$B$37)</f>
        <v>1.029797473</v>
      </c>
      <c r="I13" s="14">
        <f>I12/(1+$B$37)^2</f>
        <v>1.298741859</v>
      </c>
      <c r="J13" s="14">
        <f>J12/(1+$B$37)^3</f>
        <v>1.133313782</v>
      </c>
      <c r="K13" s="14">
        <f>K12/(1+$B$37)^4</f>
        <v>0.8363353893</v>
      </c>
      <c r="L13" s="14">
        <f>L12/(1+$B$37)^5</f>
        <v>1.338979536</v>
      </c>
      <c r="M13" s="15">
        <f>(M12/(B37-B39))/(1+B37)^5</f>
        <v>19.08188311</v>
      </c>
      <c r="N13" s="7"/>
      <c r="O13" s="7"/>
      <c r="P13" s="7"/>
      <c r="Q13" s="7"/>
      <c r="R13" s="7"/>
    </row>
    <row r="14" ht="15.75" customHeight="1"/>
    <row r="15" ht="15.75" customHeight="1">
      <c r="A15" s="16" t="s">
        <v>13</v>
      </c>
      <c r="B15" s="17"/>
    </row>
    <row r="16" ht="15.75" customHeight="1">
      <c r="B16" s="18"/>
    </row>
    <row r="17" ht="15.75" customHeight="1">
      <c r="A17" s="2" t="s">
        <v>14</v>
      </c>
      <c r="B17" s="20">
        <f>Optimistisch!B21</f>
        <v>0.03568</v>
      </c>
    </row>
    <row r="18" ht="15.75" customHeight="1">
      <c r="B18" s="18"/>
    </row>
    <row r="19" ht="15.75" customHeight="1">
      <c r="A19" s="2" t="s">
        <v>15</v>
      </c>
      <c r="B19" s="20">
        <f>(B21-B17)*B23</f>
        <v>0.0456456</v>
      </c>
    </row>
    <row r="20" ht="15.75" customHeight="1">
      <c r="B20" s="18"/>
    </row>
    <row r="21" ht="15.75" customHeight="1">
      <c r="A21" s="2" t="s">
        <v>16</v>
      </c>
      <c r="B21" s="20">
        <f>Optimistisch!B25</f>
        <v>0.07</v>
      </c>
    </row>
    <row r="22" ht="15.75" customHeight="1">
      <c r="B22" s="18"/>
    </row>
    <row r="23" ht="15.75" customHeight="1">
      <c r="A23" s="2" t="s">
        <v>17</v>
      </c>
      <c r="B23" s="21">
        <f>Optimistisch!B27</f>
        <v>1.33</v>
      </c>
    </row>
    <row r="24" ht="15.75" customHeight="1">
      <c r="B24" s="18"/>
    </row>
    <row r="25" ht="15.75" customHeight="1">
      <c r="A25" s="22" t="s">
        <v>18</v>
      </c>
      <c r="B25" s="23">
        <f>B17+(B21-B17)*B23</f>
        <v>0.0813256</v>
      </c>
    </row>
    <row r="26" ht="15.75" customHeight="1"/>
    <row r="27" ht="15.75" customHeight="1">
      <c r="A27" s="28" t="s">
        <v>34</v>
      </c>
      <c r="B27" s="17"/>
    </row>
    <row r="28" ht="15.75" customHeight="1">
      <c r="A28" s="30"/>
      <c r="B28" s="18"/>
    </row>
    <row r="29" ht="15.75" customHeight="1">
      <c r="A29" s="30" t="s">
        <v>35</v>
      </c>
      <c r="B29" s="21">
        <f>C42</f>
        <v>21.6365737</v>
      </c>
    </row>
    <row r="30" ht="15.75" customHeight="1">
      <c r="A30" s="30"/>
      <c r="B30" s="18"/>
    </row>
    <row r="31" ht="15.75" customHeight="1">
      <c r="A31" s="30" t="s">
        <v>36</v>
      </c>
      <c r="B31" s="21">
        <v>1.93433</v>
      </c>
    </row>
    <row r="32" ht="15.75" customHeight="1">
      <c r="A32" s="30"/>
      <c r="B32" s="18"/>
    </row>
    <row r="33" ht="15.75" customHeight="1">
      <c r="A33" s="30" t="s">
        <v>37</v>
      </c>
      <c r="B33" s="20">
        <v>0.0538</v>
      </c>
    </row>
    <row r="34" ht="15.75" customHeight="1">
      <c r="A34" s="30"/>
      <c r="B34" s="18"/>
    </row>
    <row r="35" ht="15.75" customHeight="1">
      <c r="A35" s="30" t="s">
        <v>38</v>
      </c>
      <c r="B35" s="20">
        <v>0.165</v>
      </c>
    </row>
    <row r="36" ht="15.75" customHeight="1">
      <c r="A36" s="30"/>
      <c r="B36" s="18"/>
    </row>
    <row r="37" ht="15.75" customHeight="1">
      <c r="A37" s="34" t="s">
        <v>39</v>
      </c>
      <c r="B37" s="23">
        <f>B25*(B29/(B29+B31))+B33*(B31/(B29+B31))*(1-B35)</f>
        <v>0.07833824567</v>
      </c>
    </row>
    <row r="38" ht="15.75" customHeight="1">
      <c r="B38" s="10"/>
    </row>
    <row r="39" ht="15.75" customHeight="1">
      <c r="A39" s="2" t="s">
        <v>40</v>
      </c>
      <c r="B39" s="10">
        <v>0.02</v>
      </c>
    </row>
    <row r="40" ht="15.75" customHeight="1"/>
    <row r="41" ht="15.75" customHeight="1">
      <c r="A41" s="3"/>
      <c r="B41" s="3"/>
      <c r="C41" s="24">
        <f>Optimistisch!C31</f>
        <v>45464</v>
      </c>
      <c r="D41" s="25" t="s">
        <v>19</v>
      </c>
    </row>
    <row r="42" ht="15.75" customHeight="1">
      <c r="A42" s="5" t="s">
        <v>20</v>
      </c>
      <c r="B42" s="5" t="s">
        <v>21</v>
      </c>
      <c r="C42" s="8">
        <f>C43*C44</f>
        <v>21.6365737</v>
      </c>
      <c r="D42" s="8">
        <f>SUM(H13:M13)-B31</f>
        <v>22.78472115</v>
      </c>
    </row>
    <row r="43" ht="15.75" customHeight="1">
      <c r="A43" s="5"/>
      <c r="B43" s="5" t="s">
        <v>22</v>
      </c>
      <c r="C43" s="8">
        <f>Optimistisch!C33</f>
        <v>0.3667215882</v>
      </c>
      <c r="D43" s="8">
        <f>C43</f>
        <v>0.3667215882</v>
      </c>
    </row>
    <row r="44" ht="15.75" customHeight="1">
      <c r="A44" s="5"/>
      <c r="B44" s="5" t="s">
        <v>23</v>
      </c>
      <c r="C44" s="8">
        <f>Optimistisch!C34</f>
        <v>59</v>
      </c>
      <c r="D44" s="8">
        <f>D42/D43</f>
        <v>62.13084225</v>
      </c>
    </row>
    <row r="45" ht="15.75" customHeight="1">
      <c r="A45" s="5"/>
      <c r="B45" s="5" t="s">
        <v>24</v>
      </c>
      <c r="C45" s="5"/>
      <c r="D45" s="11">
        <f>IF(C44/D44-1&gt;0,0,C44/D44-1)*-1</f>
        <v>0.05039111239</v>
      </c>
    </row>
    <row r="46" ht="15.75" customHeight="1">
      <c r="A46" s="5"/>
      <c r="B46" s="5" t="s">
        <v>25</v>
      </c>
      <c r="C46" s="5"/>
      <c r="D46" s="11">
        <f>IF(C44/D44-1&lt;0,0,C44/D44-1)</f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2023-11-01T21:06:40Z</dcterms:created>
  <dc:creator>Tilman Reichel</dc:creator>
</cp:coreProperties>
</file>