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ptimistisch" sheetId="1" r:id="rId4"/>
    <sheet state="visible" name="Pessimistisch" sheetId="2" r:id="rId5"/>
    <sheet state="visible" name="Wachstum für Faire Bewertung" sheetId="3" r:id="rId6"/>
    <sheet state="visible" name="DCF" sheetId="4" r:id="rId7"/>
  </sheets>
  <definedNames/>
  <calcPr/>
  <extLst>
    <ext uri="GoogleSheetsCustomDataVersion2">
      <go:sheetsCustomData xmlns:go="http://customooxmlschemas.google.com/" r:id="rId8" roundtripDataChecksum="4R7kpz4SzOxrOEFpuie1bW946NT4tiqfxz/r+zaAJVQ="/>
    </ext>
  </extLst>
</workbook>
</file>

<file path=xl/sharedStrings.xml><?xml version="1.0" encoding="utf-8"?>
<sst xmlns="http://schemas.openxmlformats.org/spreadsheetml/2006/main" count="118" uniqueCount="41">
  <si>
    <t>Discounted Net-Profit Modell</t>
  </si>
  <si>
    <t>Annahmen für Aon</t>
  </si>
  <si>
    <t>Alle Angaben in Mrd.</t>
  </si>
  <si>
    <t>Schätzungen »</t>
  </si>
  <si>
    <t>Umsatz</t>
  </si>
  <si>
    <t>Umsatzwachstum</t>
  </si>
  <si>
    <t>-</t>
  </si>
  <si>
    <t>EBIT Marge</t>
  </si>
  <si>
    <t>EBIT</t>
  </si>
  <si>
    <t>Gewinn (abzgl. Steuern, Zinsen)</t>
  </si>
  <si>
    <t>Anzahl an Aktien (abzgl. Aktienrückkäufe)</t>
  </si>
  <si>
    <t>Gewinn je Aktie</t>
  </si>
  <si>
    <t>Abgezinster Gewinn</t>
  </si>
  <si>
    <t>Berechnung der Eigenkapitalkosten:</t>
  </si>
  <si>
    <t>Risikoloser Basiszins:</t>
  </si>
  <si>
    <t>Risikoprämie:</t>
  </si>
  <si>
    <t>Marktrendite:</t>
  </si>
  <si>
    <t>Beta-Faktor:</t>
  </si>
  <si>
    <t>Eigenkapitalkosten:</t>
  </si>
  <si>
    <t>Fairer Wert</t>
  </si>
  <si>
    <t>Bewertung</t>
  </si>
  <si>
    <t>Marktkapitalisierung</t>
  </si>
  <si>
    <t>Anzahl an Aktien</t>
  </si>
  <si>
    <t>Kurs je Aktie</t>
  </si>
  <si>
    <t>Unterbewertung</t>
  </si>
  <si>
    <t>Überbewertung</t>
  </si>
  <si>
    <t>Berechnung der Renditeerwartung:</t>
  </si>
  <si>
    <t>Durchschnittliche Ausschüttungsquote:</t>
  </si>
  <si>
    <t>Ausgeschüttete Gewinne:</t>
  </si>
  <si>
    <t>Quellensteuer</t>
  </si>
  <si>
    <t>Discounted Cashflow Modell</t>
  </si>
  <si>
    <t>Free Cashflow Marge</t>
  </si>
  <si>
    <t>Free Cashflow</t>
  </si>
  <si>
    <t>Abgezinster Free Cashflow</t>
  </si>
  <si>
    <t>Berechnung der WACC:</t>
  </si>
  <si>
    <t>Marktkapitalisierung:</t>
  </si>
  <si>
    <t>Verzinstes Fremdkapital:</t>
  </si>
  <si>
    <t>Zinsrate (durchschnittlich):</t>
  </si>
  <si>
    <t>Steuerrate (durchschnittlich):</t>
  </si>
  <si>
    <t>WACC:</t>
  </si>
  <si>
    <t>Wachstumsabschlag: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</si>
</sst>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2.0"/>
      <color theme="1"/>
      <name val="Calibri"/>
      <scheme val="minor"/>
    </font>
    <font>
      <b/>
      <sz val="20.0"/>
      <color theme="1"/>
      <name val="Calibri"/>
    </font>
    <font>
      <color theme="1"/>
      <name val="Calibri"/>
      <scheme val="minor"/>
    </font>
    <font>
      <sz val="12.0"/>
      <color theme="1"/>
      <name val="Calibri"/>
    </font>
    <font>
      <sz val="12.0"/>
      <color theme="0"/>
      <name val="Calibri"/>
    </font>
    <font>
      <u/>
      <sz val="12.0"/>
      <color theme="1"/>
      <name val="Calibri"/>
    </font>
    <font>
      <u/>
      <sz val="12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7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3" numFmtId="0" xfId="0" applyBorder="1" applyFill="1" applyFont="1"/>
    <xf borderId="1" fillId="2" fontId="4" numFmtId="0" xfId="0" applyBorder="1" applyFont="1"/>
    <xf borderId="1" fillId="3" fontId="3" numFmtId="0" xfId="0" applyBorder="1" applyFill="1" applyFont="1"/>
    <xf borderId="1" fillId="3" fontId="3" numFmtId="0" xfId="0" applyAlignment="1" applyBorder="1" applyFont="1">
      <alignment horizontal="right"/>
    </xf>
    <xf borderId="0" fillId="0" fontId="3" numFmtId="2" xfId="0" applyFont="1" applyNumberFormat="1"/>
    <xf borderId="1" fillId="3" fontId="3" numFmtId="2" xfId="0" applyBorder="1" applyFont="1" applyNumberFormat="1"/>
    <xf borderId="0" fillId="0" fontId="3" numFmtId="0" xfId="0" applyAlignment="1" applyFont="1">
      <alignment horizontal="right"/>
    </xf>
    <xf borderId="0" fillId="0" fontId="3" numFmtId="10" xfId="0" applyFont="1" applyNumberFormat="1"/>
    <xf borderId="1" fillId="3" fontId="3" numFmtId="10" xfId="0" applyBorder="1" applyFont="1" applyNumberFormat="1"/>
    <xf borderId="2" fillId="0" fontId="3" numFmtId="0" xfId="0" applyBorder="1" applyFont="1"/>
    <xf borderId="3" fillId="0" fontId="3" numFmtId="0" xfId="0" applyBorder="1" applyFont="1"/>
    <xf borderId="4" fillId="4" fontId="3" numFmtId="2" xfId="0" applyBorder="1" applyFill="1" applyFont="1" applyNumberFormat="1"/>
    <xf borderId="5" fillId="4" fontId="3" numFmtId="2" xfId="0" applyBorder="1" applyFont="1" applyNumberFormat="1"/>
    <xf borderId="6" fillId="0" fontId="5" numFmtId="0" xfId="0" applyBorder="1" applyFont="1"/>
    <xf borderId="7" fillId="0" fontId="3" numFmtId="0" xfId="0" applyBorder="1" applyFont="1"/>
    <xf borderId="8" fillId="0" fontId="3" numFmtId="0" xfId="0" applyBorder="1" applyFont="1"/>
    <xf borderId="8" fillId="0" fontId="3" numFmtId="10" xfId="0" applyBorder="1" applyFont="1" applyNumberFormat="1"/>
    <xf borderId="8" fillId="0" fontId="3" numFmtId="2" xfId="0" applyBorder="1" applyFont="1" applyNumberFormat="1"/>
    <xf borderId="9" fillId="0" fontId="3" numFmtId="0" xfId="0" applyBorder="1" applyFont="1"/>
    <xf borderId="10" fillId="0" fontId="3" numFmtId="10" xfId="0" applyBorder="1" applyFont="1" applyNumberFormat="1"/>
    <xf borderId="1" fillId="2" fontId="4" numFmtId="14" xfId="0" applyAlignment="1" applyBorder="1" applyFont="1" applyNumberFormat="1">
      <alignment horizontal="right"/>
    </xf>
    <xf borderId="1" fillId="2" fontId="4" numFmtId="0" xfId="0" applyAlignment="1" applyBorder="1" applyFont="1">
      <alignment horizontal="right"/>
    </xf>
    <xf borderId="1" fillId="3" fontId="3" numFmtId="2" xfId="0" applyAlignment="1" applyBorder="1" applyFont="1" applyNumberFormat="1">
      <alignment readingOrder="0"/>
    </xf>
    <xf borderId="1" fillId="4" fontId="3" numFmtId="0" xfId="0" applyBorder="1" applyFont="1"/>
    <xf borderId="11" fillId="0" fontId="6" numFmtId="0" xfId="0" applyBorder="1" applyFont="1"/>
    <xf borderId="6" fillId="0" fontId="3" numFmtId="0" xfId="0" applyBorder="1" applyFont="1"/>
    <xf borderId="12" fillId="0" fontId="3" numFmtId="0" xfId="0" applyBorder="1" applyFont="1"/>
    <xf borderId="13" fillId="3" fontId="3" numFmtId="0" xfId="0" applyBorder="1" applyFont="1"/>
    <xf borderId="14" fillId="3" fontId="3" numFmtId="0" xfId="0" applyBorder="1" applyFont="1"/>
    <xf borderId="15" fillId="3" fontId="3" numFmtId="10" xfId="0" applyBorder="1" applyFont="1" applyNumberFormat="1"/>
    <xf borderId="8" fillId="0" fontId="3" numFmtId="2" xfId="0" applyAlignment="1" applyBorder="1" applyFont="1" applyNumberFormat="1">
      <alignment readingOrder="0"/>
    </xf>
    <xf borderId="16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7.44"/>
    <col customWidth="1" min="2" max="2" width="27.22"/>
    <col customWidth="1" min="3" max="18" width="10.33"/>
    <col customWidth="1" min="19" max="26" width="8.33"/>
  </cols>
  <sheetData>
    <row r="1" ht="15.75" customHeight="1"/>
    <row r="2" ht="15.75" customHeight="1">
      <c r="B2" s="1" t="s">
        <v>0</v>
      </c>
    </row>
    <row r="3" ht="15.75" customHeight="1"/>
    <row r="4" ht="15.75" customHeight="1">
      <c r="B4" s="2" t="s">
        <v>1</v>
      </c>
    </row>
    <row r="5" ht="15.75" customHeight="1"/>
    <row r="6" ht="15.75" customHeight="1">
      <c r="B6" s="2" t="s">
        <v>2</v>
      </c>
    </row>
    <row r="7" ht="15.75" customHeight="1"/>
    <row r="8" ht="15.75" customHeight="1">
      <c r="A8" s="3"/>
      <c r="B8" s="3"/>
      <c r="C8" s="3"/>
      <c r="D8" s="3"/>
      <c r="E8" s="3"/>
      <c r="F8" s="3"/>
      <c r="G8" s="3"/>
      <c r="H8" s="4" t="s">
        <v>3</v>
      </c>
      <c r="I8" s="3"/>
      <c r="J8" s="3"/>
      <c r="K8" s="3"/>
      <c r="L8" s="3"/>
      <c r="M8" s="3"/>
      <c r="N8" s="3"/>
      <c r="O8" s="3"/>
      <c r="P8" s="3"/>
      <c r="Q8" s="3"/>
      <c r="R8" s="3"/>
    </row>
    <row r="9" ht="15.75" customHeight="1">
      <c r="C9" s="2">
        <v>2019.0</v>
      </c>
      <c r="D9" s="2">
        <f t="shared" ref="D9:Q9" si="1">C9+1</f>
        <v>2020</v>
      </c>
      <c r="E9" s="2">
        <f t="shared" si="1"/>
        <v>2021</v>
      </c>
      <c r="F9" s="2">
        <f t="shared" si="1"/>
        <v>2022</v>
      </c>
      <c r="G9" s="2">
        <f t="shared" si="1"/>
        <v>2023</v>
      </c>
      <c r="H9" s="5">
        <f t="shared" si="1"/>
        <v>2024</v>
      </c>
      <c r="I9" s="5">
        <f t="shared" si="1"/>
        <v>2025</v>
      </c>
      <c r="J9" s="5">
        <f t="shared" si="1"/>
        <v>2026</v>
      </c>
      <c r="K9" s="5">
        <f t="shared" si="1"/>
        <v>2027</v>
      </c>
      <c r="L9" s="5">
        <f t="shared" si="1"/>
        <v>2028</v>
      </c>
      <c r="M9" s="5">
        <f t="shared" si="1"/>
        <v>2029</v>
      </c>
      <c r="N9" s="5">
        <f t="shared" si="1"/>
        <v>2030</v>
      </c>
      <c r="O9" s="5">
        <f t="shared" si="1"/>
        <v>2031</v>
      </c>
      <c r="P9" s="5">
        <f t="shared" si="1"/>
        <v>2032</v>
      </c>
      <c r="Q9" s="5">
        <f t="shared" si="1"/>
        <v>2033</v>
      </c>
      <c r="R9" s="6" t="str">
        <f>Q9+1&amp;"ff."</f>
        <v>2034ff.</v>
      </c>
    </row>
    <row r="10" ht="15.75" customHeight="1">
      <c r="B10" s="2" t="s">
        <v>4</v>
      </c>
      <c r="C10" s="7">
        <v>11.013</v>
      </c>
      <c r="D10" s="7">
        <v>11.066</v>
      </c>
      <c r="E10" s="7">
        <v>12.193</v>
      </c>
      <c r="F10" s="7">
        <v>12.479</v>
      </c>
      <c r="G10" s="7">
        <v>13.376</v>
      </c>
      <c r="H10" s="8">
        <v>15.696</v>
      </c>
      <c r="I10" s="8">
        <v>17.326</v>
      </c>
      <c r="J10" s="8">
        <v>18.386</v>
      </c>
      <c r="K10" s="8">
        <f t="shared" ref="K10:R10" si="2">J10*(1+K11)</f>
        <v>19.67302</v>
      </c>
      <c r="L10" s="8">
        <f t="shared" si="2"/>
        <v>20.9517663</v>
      </c>
      <c r="M10" s="8">
        <f t="shared" si="2"/>
        <v>21.58031929</v>
      </c>
      <c r="N10" s="8">
        <f t="shared" si="2"/>
        <v>22.87513845</v>
      </c>
      <c r="O10" s="8">
        <f t="shared" si="2"/>
        <v>24.13327106</v>
      </c>
      <c r="P10" s="8">
        <f t="shared" si="2"/>
        <v>25.46060097</v>
      </c>
      <c r="Q10" s="8">
        <f t="shared" si="2"/>
        <v>26.73363102</v>
      </c>
      <c r="R10" s="8">
        <f t="shared" si="2"/>
        <v>27.26830364</v>
      </c>
    </row>
    <row r="11" ht="15.75" customHeight="1">
      <c r="B11" s="2" t="s">
        <v>5</v>
      </c>
      <c r="C11" s="9" t="s">
        <v>6</v>
      </c>
      <c r="D11" s="10">
        <f t="shared" ref="D11:J11" si="3">D10/C10-1</f>
        <v>0.004812494325</v>
      </c>
      <c r="E11" s="10">
        <f t="shared" si="3"/>
        <v>0.1018434845</v>
      </c>
      <c r="F11" s="10">
        <f t="shared" si="3"/>
        <v>0.02345608136</v>
      </c>
      <c r="G11" s="10">
        <f t="shared" si="3"/>
        <v>0.07188075968</v>
      </c>
      <c r="H11" s="11">
        <f t="shared" si="3"/>
        <v>0.1734449761</v>
      </c>
      <c r="I11" s="11">
        <f t="shared" si="3"/>
        <v>0.1038481142</v>
      </c>
      <c r="J11" s="11">
        <f t="shared" si="3"/>
        <v>0.06117972989</v>
      </c>
      <c r="K11" s="11">
        <v>0.07</v>
      </c>
      <c r="L11" s="11">
        <v>0.065</v>
      </c>
      <c r="M11" s="11">
        <v>0.03</v>
      </c>
      <c r="N11" s="11">
        <v>0.06</v>
      </c>
      <c r="O11" s="11">
        <v>0.055</v>
      </c>
      <c r="P11" s="11">
        <v>0.055</v>
      </c>
      <c r="Q11" s="11">
        <v>0.05</v>
      </c>
      <c r="R11" s="11">
        <v>0.02</v>
      </c>
    </row>
    <row r="12" ht="15.75" customHeight="1">
      <c r="B12" s="2" t="s">
        <v>7</v>
      </c>
      <c r="C12" s="10">
        <f t="shared" ref="C12:J12" si="4">C13/C10</f>
        <v>0.1969490602</v>
      </c>
      <c r="D12" s="10">
        <f t="shared" si="4"/>
        <v>0.2513103199</v>
      </c>
      <c r="E12" s="10">
        <f t="shared" si="4"/>
        <v>0.1714098253</v>
      </c>
      <c r="F12" s="10">
        <f t="shared" si="4"/>
        <v>0.2940139434</v>
      </c>
      <c r="G12" s="10">
        <f t="shared" si="4"/>
        <v>0.2829694976</v>
      </c>
      <c r="H12" s="11">
        <f t="shared" si="4"/>
        <v>0.2797427311</v>
      </c>
      <c r="I12" s="11">
        <f t="shared" si="4"/>
        <v>0.28305913</v>
      </c>
      <c r="J12" s="11">
        <f t="shared" si="4"/>
        <v>0.2908571491</v>
      </c>
      <c r="K12" s="11">
        <v>0.295</v>
      </c>
      <c r="L12" s="11">
        <v>0.2925</v>
      </c>
      <c r="M12" s="11">
        <v>0.3</v>
      </c>
      <c r="N12" s="11">
        <v>0.305</v>
      </c>
      <c r="O12" s="11">
        <v>0.245</v>
      </c>
      <c r="P12" s="11">
        <v>0.31</v>
      </c>
      <c r="Q12" s="11">
        <v>0.32</v>
      </c>
      <c r="R12" s="11">
        <v>0.3</v>
      </c>
    </row>
    <row r="13" ht="15.75" customHeight="1">
      <c r="B13" s="2" t="s">
        <v>8</v>
      </c>
      <c r="C13" s="7">
        <v>2.169</v>
      </c>
      <c r="D13" s="7">
        <v>2.781</v>
      </c>
      <c r="E13" s="7">
        <v>2.09</v>
      </c>
      <c r="F13" s="7">
        <v>3.669</v>
      </c>
      <c r="G13" s="7">
        <v>3.785</v>
      </c>
      <c r="H13" s="8">
        <v>4.390841907100953</v>
      </c>
      <c r="I13" s="8">
        <v>4.9042824865719545</v>
      </c>
      <c r="J13" s="8">
        <v>5.347699543516498</v>
      </c>
      <c r="K13" s="8">
        <f t="shared" ref="K13:R13" si="5">K10*K12</f>
        <v>5.8035409</v>
      </c>
      <c r="L13" s="8">
        <f t="shared" si="5"/>
        <v>6.128391643</v>
      </c>
      <c r="M13" s="8">
        <f t="shared" si="5"/>
        <v>6.474095787</v>
      </c>
      <c r="N13" s="8">
        <f t="shared" si="5"/>
        <v>6.976917226</v>
      </c>
      <c r="O13" s="8">
        <f t="shared" si="5"/>
        <v>5.91265141</v>
      </c>
      <c r="P13" s="8">
        <f t="shared" si="5"/>
        <v>7.8927863</v>
      </c>
      <c r="Q13" s="8">
        <f t="shared" si="5"/>
        <v>8.554761926</v>
      </c>
      <c r="R13" s="8">
        <f t="shared" si="5"/>
        <v>8.180491091</v>
      </c>
    </row>
    <row r="14" ht="15.75" customHeight="1">
      <c r="A14" s="11">
        <v>0.25</v>
      </c>
      <c r="B14" s="2" t="s">
        <v>9</v>
      </c>
      <c r="C14" s="7">
        <v>1.532</v>
      </c>
      <c r="D14" s="7">
        <v>1.969</v>
      </c>
      <c r="E14" s="7">
        <v>1.255</v>
      </c>
      <c r="F14" s="7">
        <v>2.589</v>
      </c>
      <c r="G14" s="7">
        <v>2.564</v>
      </c>
      <c r="H14" s="8">
        <v>2.8896336000000002</v>
      </c>
      <c r="I14" s="8">
        <v>3.5968776</v>
      </c>
      <c r="J14" s="8">
        <v>4.1754606</v>
      </c>
      <c r="K14" s="8">
        <f t="shared" ref="K14:R14" si="6">K13*(1-$A$14)</f>
        <v>4.352655675</v>
      </c>
      <c r="L14" s="8">
        <f t="shared" si="6"/>
        <v>4.596293732</v>
      </c>
      <c r="M14" s="8">
        <f t="shared" si="6"/>
        <v>4.85557184</v>
      </c>
      <c r="N14" s="8">
        <f t="shared" si="6"/>
        <v>5.23268792</v>
      </c>
      <c r="O14" s="8">
        <f t="shared" si="6"/>
        <v>4.434488557</v>
      </c>
      <c r="P14" s="8">
        <f t="shared" si="6"/>
        <v>5.919589725</v>
      </c>
      <c r="Q14" s="8">
        <f t="shared" si="6"/>
        <v>6.416071444</v>
      </c>
      <c r="R14" s="8">
        <f t="shared" si="6"/>
        <v>6.135368319</v>
      </c>
    </row>
    <row r="15" ht="15.75" customHeight="1">
      <c r="A15" s="11">
        <v>0.965</v>
      </c>
      <c r="B15" s="2" t="s">
        <v>10</v>
      </c>
      <c r="H15" s="8">
        <f>C33</f>
        <v>0.217430759</v>
      </c>
      <c r="I15" s="8">
        <f t="shared" ref="I15:Q15" si="7">H15*$A$15</f>
        <v>0.2098206824</v>
      </c>
      <c r="J15" s="8">
        <f t="shared" si="7"/>
        <v>0.2024769585</v>
      </c>
      <c r="K15" s="8">
        <f t="shared" si="7"/>
        <v>0.195390265</v>
      </c>
      <c r="L15" s="8">
        <f t="shared" si="7"/>
        <v>0.1885516057</v>
      </c>
      <c r="M15" s="8">
        <f t="shared" si="7"/>
        <v>0.1819522995</v>
      </c>
      <c r="N15" s="8">
        <f t="shared" si="7"/>
        <v>0.175583969</v>
      </c>
      <c r="O15" s="8">
        <f t="shared" si="7"/>
        <v>0.1694385301</v>
      </c>
      <c r="P15" s="8">
        <f t="shared" si="7"/>
        <v>0.1635081816</v>
      </c>
      <c r="Q15" s="8">
        <f t="shared" si="7"/>
        <v>0.1577853952</v>
      </c>
      <c r="R15" s="6" t="s">
        <v>6</v>
      </c>
    </row>
    <row r="16" ht="15.75" customHeight="1">
      <c r="B16" s="2" t="s">
        <v>11</v>
      </c>
      <c r="H16" s="8">
        <f t="shared" ref="H16:Q16" si="8">H14/H15</f>
        <v>13.28990256</v>
      </c>
      <c r="I16" s="8">
        <f t="shared" si="8"/>
        <v>17.14262654</v>
      </c>
      <c r="J16" s="8">
        <f t="shared" si="8"/>
        <v>20.62190498</v>
      </c>
      <c r="K16" s="8">
        <f t="shared" si="8"/>
        <v>22.27672743</v>
      </c>
      <c r="L16" s="8">
        <f t="shared" si="8"/>
        <v>24.37684747</v>
      </c>
      <c r="M16" s="8">
        <f t="shared" si="8"/>
        <v>26.68596029</v>
      </c>
      <c r="N16" s="8">
        <f t="shared" si="8"/>
        <v>29.80162681</v>
      </c>
      <c r="O16" s="8">
        <f t="shared" si="8"/>
        <v>26.17166564</v>
      </c>
      <c r="P16" s="8">
        <f t="shared" si="8"/>
        <v>36.20363011</v>
      </c>
      <c r="Q16" s="8">
        <f t="shared" si="8"/>
        <v>40.66327834</v>
      </c>
      <c r="R16" s="6" t="s">
        <v>6</v>
      </c>
    </row>
    <row r="17" ht="15.75" customHeight="1">
      <c r="F17" s="12" t="s">
        <v>12</v>
      </c>
      <c r="G17" s="13"/>
      <c r="H17" s="14">
        <f>H14/(1+$B$29)</f>
        <v>2.721202076</v>
      </c>
      <c r="I17" s="14">
        <f>I14/(1+$B$29)^2</f>
        <v>3.189787042</v>
      </c>
      <c r="J17" s="14">
        <f>J14/(1+$B$29)^3</f>
        <v>3.487052093</v>
      </c>
      <c r="K17" s="14">
        <f>K14/(1+$B$29)^4</f>
        <v>3.423153494</v>
      </c>
      <c r="L17" s="14">
        <f>L14/(1+$B$29)^5</f>
        <v>3.40406505</v>
      </c>
      <c r="M17" s="14">
        <f>M14/(1+$B$29)^6</f>
        <v>3.386479686</v>
      </c>
      <c r="N17" s="14">
        <f>N14/(1+$B$29)^7</f>
        <v>3.436773728</v>
      </c>
      <c r="O17" s="14">
        <f>O14/(1+$B$29)^8</f>
        <v>2.742759068</v>
      </c>
      <c r="P17" s="14">
        <f>P14/(1+$B$29)^9</f>
        <v>3.447892715</v>
      </c>
      <c r="Q17" s="14">
        <f>Q14/(1+$B$29)^10</f>
        <v>3.519243705</v>
      </c>
      <c r="R17" s="15">
        <f>(R14/(B29-R11))/(1+B29)^10</f>
        <v>80.32453678</v>
      </c>
    </row>
    <row r="18" ht="15.75" customHeight="1"/>
    <row r="19" ht="15.75" customHeight="1">
      <c r="A19" s="16" t="s">
        <v>13</v>
      </c>
      <c r="B19" s="17"/>
    </row>
    <row r="20" ht="15.75" customHeight="1">
      <c r="B20" s="18"/>
    </row>
    <row r="21" ht="15.75" customHeight="1">
      <c r="A21" s="2" t="s">
        <v>14</v>
      </c>
      <c r="B21" s="19">
        <v>0.02948</v>
      </c>
    </row>
    <row r="22" ht="15.75" customHeight="1">
      <c r="B22" s="18"/>
    </row>
    <row r="23" ht="15.75" customHeight="1">
      <c r="A23" s="2" t="s">
        <v>15</v>
      </c>
      <c r="B23" s="19">
        <f>(B25-B21)*B27</f>
        <v>0.032416</v>
      </c>
    </row>
    <row r="24" ht="15.75" customHeight="1">
      <c r="B24" s="18"/>
    </row>
    <row r="25" ht="15.75" customHeight="1">
      <c r="A25" s="2" t="s">
        <v>16</v>
      </c>
      <c r="B25" s="19">
        <v>0.07</v>
      </c>
    </row>
    <row r="26" ht="15.75" customHeight="1">
      <c r="B26" s="18"/>
    </row>
    <row r="27" ht="15.75" customHeight="1">
      <c r="A27" s="2" t="s">
        <v>17</v>
      </c>
      <c r="B27" s="20">
        <v>0.8</v>
      </c>
    </row>
    <row r="28" ht="15.75" customHeight="1">
      <c r="B28" s="18"/>
    </row>
    <row r="29" ht="15.75" customHeight="1">
      <c r="A29" s="21" t="s">
        <v>18</v>
      </c>
      <c r="B29" s="22">
        <f>B21+(B25-B21)*B27</f>
        <v>0.061896</v>
      </c>
    </row>
    <row r="30" ht="15.75" customHeight="1"/>
    <row r="31" ht="15.75" customHeight="1">
      <c r="A31" s="3"/>
      <c r="B31" s="3"/>
      <c r="C31" s="23">
        <v>45448.0</v>
      </c>
      <c r="D31" s="24" t="s">
        <v>19</v>
      </c>
    </row>
    <row r="32" ht="15.75" customHeight="1">
      <c r="A32" s="5" t="s">
        <v>20</v>
      </c>
      <c r="B32" s="5" t="s">
        <v>21</v>
      </c>
      <c r="C32" s="8">
        <f>C33*C34</f>
        <v>64.33123867</v>
      </c>
      <c r="D32" s="8">
        <f>SUM(H17:R17)</f>
        <v>113.0829454</v>
      </c>
    </row>
    <row r="33" ht="15.75" customHeight="1">
      <c r="A33" s="5"/>
      <c r="B33" s="5" t="s">
        <v>22</v>
      </c>
      <c r="C33" s="8">
        <v>0.217430759</v>
      </c>
      <c r="D33" s="8">
        <f>C33</f>
        <v>0.217430759</v>
      </c>
    </row>
    <row r="34" ht="15.75" customHeight="1">
      <c r="A34" s="5"/>
      <c r="B34" s="5" t="s">
        <v>23</v>
      </c>
      <c r="C34" s="25">
        <v>295.87</v>
      </c>
      <c r="D34" s="8">
        <f>D32/D33</f>
        <v>520.0871576</v>
      </c>
    </row>
    <row r="35" ht="15.75" customHeight="1">
      <c r="A35" s="5"/>
      <c r="B35" s="5" t="s">
        <v>24</v>
      </c>
      <c r="C35" s="5"/>
      <c r="D35" s="11">
        <f>IF(C34/D34-1&gt;0,0,C34/D34-1)*-1</f>
        <v>0.4311145821</v>
      </c>
    </row>
    <row r="36" ht="15.75" customHeight="1">
      <c r="A36" s="5"/>
      <c r="B36" s="5" t="s">
        <v>25</v>
      </c>
      <c r="C36" s="5"/>
      <c r="D36" s="11">
        <f>IF(C34/D34-1&lt;0,0,C34/D34-1)</f>
        <v>0</v>
      </c>
    </row>
    <row r="37" ht="15.75" customHeight="1">
      <c r="A37" s="26"/>
      <c r="B37" s="26"/>
      <c r="C37" s="26"/>
      <c r="D37" s="26"/>
    </row>
    <row r="38" ht="15.75" customHeight="1">
      <c r="A38" s="27" t="s">
        <v>26</v>
      </c>
      <c r="B38" s="28"/>
      <c r="C38" s="28"/>
      <c r="D38" s="17"/>
    </row>
    <row r="39" ht="15.75" customHeight="1">
      <c r="A39" s="29"/>
      <c r="D39" s="18"/>
    </row>
    <row r="40" ht="15.75" customHeight="1">
      <c r="A40" s="29" t="str">
        <f>"KGV in "&amp;Q9&amp;":"</f>
        <v>KGV in 2033:</v>
      </c>
      <c r="D40" s="20">
        <v>20.0</v>
      </c>
    </row>
    <row r="41" ht="15.75" customHeight="1">
      <c r="A41" s="29"/>
      <c r="D41" s="18"/>
    </row>
    <row r="42" ht="15.75" customHeight="1">
      <c r="A42" s="29" t="str">
        <f>"Aktienkurs in "&amp;Q9&amp;":"</f>
        <v>Aktienkurs in 2033:</v>
      </c>
      <c r="D42" s="20">
        <f>Q16*D40</f>
        <v>813.2655669</v>
      </c>
    </row>
    <row r="43" ht="15.75" customHeight="1">
      <c r="A43" s="29"/>
      <c r="D43" s="18"/>
    </row>
    <row r="44" ht="15.75" customHeight="1">
      <c r="A44" s="29" t="s">
        <v>27</v>
      </c>
      <c r="D44" s="19">
        <v>0.25</v>
      </c>
    </row>
    <row r="45" ht="15.75" customHeight="1">
      <c r="A45" s="29"/>
      <c r="D45" s="18"/>
    </row>
    <row r="46" ht="15.75" customHeight="1">
      <c r="A46" s="29" t="s">
        <v>28</v>
      </c>
      <c r="D46" s="20">
        <f>D44*SUM(H16:Q16)</f>
        <v>64.30854254</v>
      </c>
    </row>
    <row r="47" ht="15.75" customHeight="1">
      <c r="A47" s="29"/>
      <c r="D47" s="18"/>
    </row>
    <row r="48" ht="15.75" customHeight="1">
      <c r="A48" s="29" t="s">
        <v>29</v>
      </c>
      <c r="D48" s="19">
        <v>0.0</v>
      </c>
    </row>
    <row r="49" ht="15.75" customHeight="1">
      <c r="A49" s="29"/>
      <c r="D49" s="18"/>
    </row>
    <row r="50" ht="15.75" customHeight="1">
      <c r="A50" s="29" t="str">
        <f>"Gesamtwert "&amp;Q9</f>
        <v>Gesamtwert 2033</v>
      </c>
      <c r="D50" s="20">
        <f>D42+D46*(1-D48)</f>
        <v>877.5741094</v>
      </c>
    </row>
    <row r="51" ht="15.75" customHeight="1">
      <c r="A51" s="29"/>
      <c r="D51" s="18"/>
    </row>
    <row r="52" ht="15.75" customHeight="1">
      <c r="A52" s="29" t="str">
        <f>"Steigerung bis "&amp;Q9</f>
        <v>Steigerung bis 2033</v>
      </c>
      <c r="D52" s="19">
        <f>D50/C34-1</f>
        <v>1.966080067</v>
      </c>
    </row>
    <row r="53" ht="15.75" customHeight="1">
      <c r="A53" s="29"/>
      <c r="D53" s="18"/>
    </row>
    <row r="54" ht="15.75" customHeight="1">
      <c r="A54" s="30" t="str">
        <f>"Renditeerwartung bis "&amp;Q9&amp;" pro Jahr"</f>
        <v>Renditeerwartung bis 2033 pro Jahr</v>
      </c>
      <c r="B54" s="31"/>
      <c r="C54" s="31"/>
      <c r="D54" s="32">
        <f>(D50/C34)^(1/10)-1</f>
        <v>0.1148547461</v>
      </c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7.44"/>
    <col customWidth="1" min="2" max="2" width="27.22"/>
    <col customWidth="1" min="3" max="18" width="10.33"/>
    <col customWidth="1" min="19" max="26" width="8.33"/>
  </cols>
  <sheetData>
    <row r="1" ht="15.75" customHeight="1"/>
    <row r="2" ht="15.75" customHeight="1">
      <c r="B2" s="1" t="s">
        <v>0</v>
      </c>
    </row>
    <row r="3" ht="15.75" customHeight="1"/>
    <row r="4" ht="15.75" customHeight="1">
      <c r="B4" s="2" t="str">
        <f>Optimistisch!B4</f>
        <v>Annahmen für Aon</v>
      </c>
    </row>
    <row r="5" ht="15.75" customHeight="1"/>
    <row r="6" ht="15.75" customHeight="1">
      <c r="B6" s="2" t="str">
        <f>Optimistisch!B6</f>
        <v>Alle Angaben in Mrd.</v>
      </c>
    </row>
    <row r="7" ht="15.75" customHeight="1"/>
    <row r="8" ht="15.75" customHeight="1">
      <c r="A8" s="3"/>
      <c r="B8" s="3"/>
      <c r="C8" s="3"/>
      <c r="D8" s="3"/>
      <c r="E8" s="3"/>
      <c r="F8" s="3"/>
      <c r="G8" s="3"/>
      <c r="H8" s="4" t="s">
        <v>3</v>
      </c>
      <c r="I8" s="3"/>
      <c r="J8" s="3"/>
      <c r="K8" s="3"/>
      <c r="L8" s="3"/>
      <c r="M8" s="3"/>
      <c r="N8" s="3"/>
      <c r="O8" s="3"/>
      <c r="P8" s="3"/>
      <c r="Q8" s="3"/>
      <c r="R8" s="3"/>
    </row>
    <row r="9" ht="15.75" customHeight="1">
      <c r="C9" s="2">
        <f>Optimistisch!C9</f>
        <v>2019</v>
      </c>
      <c r="D9" s="2">
        <f t="shared" ref="D9:Q9" si="1">C9+1</f>
        <v>2020</v>
      </c>
      <c r="E9" s="2">
        <f t="shared" si="1"/>
        <v>2021</v>
      </c>
      <c r="F9" s="2">
        <f t="shared" si="1"/>
        <v>2022</v>
      </c>
      <c r="G9" s="2">
        <f t="shared" si="1"/>
        <v>2023</v>
      </c>
      <c r="H9" s="5">
        <f t="shared" si="1"/>
        <v>2024</v>
      </c>
      <c r="I9" s="5">
        <f t="shared" si="1"/>
        <v>2025</v>
      </c>
      <c r="J9" s="5">
        <f t="shared" si="1"/>
        <v>2026</v>
      </c>
      <c r="K9" s="5">
        <f t="shared" si="1"/>
        <v>2027</v>
      </c>
      <c r="L9" s="5">
        <f t="shared" si="1"/>
        <v>2028</v>
      </c>
      <c r="M9" s="5">
        <f t="shared" si="1"/>
        <v>2029</v>
      </c>
      <c r="N9" s="5">
        <f t="shared" si="1"/>
        <v>2030</v>
      </c>
      <c r="O9" s="5">
        <f t="shared" si="1"/>
        <v>2031</v>
      </c>
      <c r="P9" s="5">
        <f t="shared" si="1"/>
        <v>2032</v>
      </c>
      <c r="Q9" s="5">
        <f t="shared" si="1"/>
        <v>2033</v>
      </c>
      <c r="R9" s="6" t="str">
        <f>Q9+1&amp;"ff."</f>
        <v>2034ff.</v>
      </c>
    </row>
    <row r="10" ht="15.75" customHeight="1">
      <c r="B10" s="2" t="s">
        <v>4</v>
      </c>
      <c r="C10" s="7">
        <f>Optimistisch!C10</f>
        <v>11.013</v>
      </c>
      <c r="D10" s="7">
        <f>Optimistisch!D10</f>
        <v>11.066</v>
      </c>
      <c r="E10" s="7">
        <f>Optimistisch!E10</f>
        <v>12.193</v>
      </c>
      <c r="F10" s="7">
        <f>Optimistisch!F10</f>
        <v>12.479</v>
      </c>
      <c r="G10" s="7">
        <f>Optimistisch!G10</f>
        <v>13.376</v>
      </c>
      <c r="H10" s="8">
        <f>Optimistisch!H10</f>
        <v>15.696</v>
      </c>
      <c r="I10" s="8">
        <f>Optimistisch!I10</f>
        <v>17.326</v>
      </c>
      <c r="J10" s="8">
        <f>Optimistisch!J10</f>
        <v>18.386</v>
      </c>
      <c r="K10" s="8">
        <f t="shared" ref="K10:R10" si="2">J10*(1+K11)</f>
        <v>19.12144</v>
      </c>
      <c r="L10" s="8">
        <f t="shared" si="2"/>
        <v>20.077512</v>
      </c>
      <c r="M10" s="8">
        <f t="shared" si="2"/>
        <v>20.5794498</v>
      </c>
      <c r="N10" s="8">
        <f t="shared" si="2"/>
        <v>21.50552504</v>
      </c>
      <c r="O10" s="8">
        <f t="shared" si="2"/>
        <v>22.47327367</v>
      </c>
      <c r="P10" s="8">
        <f t="shared" si="2"/>
        <v>23.37220461</v>
      </c>
      <c r="Q10" s="8">
        <f t="shared" si="2"/>
        <v>23.83964871</v>
      </c>
      <c r="R10" s="8">
        <f t="shared" si="2"/>
        <v>24.07804519</v>
      </c>
    </row>
    <row r="11" ht="15.75" customHeight="1">
      <c r="B11" s="2" t="s">
        <v>5</v>
      </c>
      <c r="C11" s="9" t="s">
        <v>6</v>
      </c>
      <c r="D11" s="10">
        <f t="shared" ref="D11:J11" si="3">D10/C10-1</f>
        <v>0.004812494325</v>
      </c>
      <c r="E11" s="10">
        <f t="shared" si="3"/>
        <v>0.1018434845</v>
      </c>
      <c r="F11" s="10">
        <f t="shared" si="3"/>
        <v>0.02345608136</v>
      </c>
      <c r="G11" s="10">
        <f t="shared" si="3"/>
        <v>0.07188075968</v>
      </c>
      <c r="H11" s="11">
        <f t="shared" si="3"/>
        <v>0.1734449761</v>
      </c>
      <c r="I11" s="11">
        <f t="shared" si="3"/>
        <v>0.1038481142</v>
      </c>
      <c r="J11" s="11">
        <f t="shared" si="3"/>
        <v>0.06117972989</v>
      </c>
      <c r="K11" s="11">
        <v>0.04</v>
      </c>
      <c r="L11" s="11">
        <v>0.05</v>
      </c>
      <c r="M11" s="11">
        <v>0.025</v>
      </c>
      <c r="N11" s="11">
        <v>0.045</v>
      </c>
      <c r="O11" s="11">
        <v>0.045</v>
      </c>
      <c r="P11" s="11">
        <v>0.04</v>
      </c>
      <c r="Q11" s="11">
        <v>0.02</v>
      </c>
      <c r="R11" s="11">
        <v>0.01</v>
      </c>
    </row>
    <row r="12" ht="15.75" customHeight="1">
      <c r="B12" s="2" t="s">
        <v>7</v>
      </c>
      <c r="C12" s="10">
        <f t="shared" ref="C12:J12" si="4">C13/C10</f>
        <v>0.1969490602</v>
      </c>
      <c r="D12" s="10">
        <f t="shared" si="4"/>
        <v>0.2513103199</v>
      </c>
      <c r="E12" s="10">
        <f t="shared" si="4"/>
        <v>0.1714098253</v>
      </c>
      <c r="F12" s="10">
        <f t="shared" si="4"/>
        <v>0.2940139434</v>
      </c>
      <c r="G12" s="10">
        <f t="shared" si="4"/>
        <v>0.2829694976</v>
      </c>
      <c r="H12" s="11">
        <f t="shared" si="4"/>
        <v>0.2797427311</v>
      </c>
      <c r="I12" s="11">
        <f t="shared" si="4"/>
        <v>0.28305913</v>
      </c>
      <c r="J12" s="11">
        <f t="shared" si="4"/>
        <v>0.2908571491</v>
      </c>
      <c r="K12" s="11">
        <v>0.26</v>
      </c>
      <c r="L12" s="11">
        <v>0.285</v>
      </c>
      <c r="M12" s="11">
        <v>0.2825</v>
      </c>
      <c r="N12" s="11">
        <v>0.21</v>
      </c>
      <c r="O12" s="11">
        <v>0.225</v>
      </c>
      <c r="P12" s="11">
        <v>0.24</v>
      </c>
      <c r="Q12" s="11">
        <v>0.255</v>
      </c>
      <c r="R12" s="11">
        <v>0.22</v>
      </c>
    </row>
    <row r="13" ht="15.75" customHeight="1">
      <c r="B13" s="2" t="s">
        <v>8</v>
      </c>
      <c r="C13" s="7">
        <f>Optimistisch!C13</f>
        <v>2.169</v>
      </c>
      <c r="D13" s="7">
        <f>Optimistisch!D13</f>
        <v>2.781</v>
      </c>
      <c r="E13" s="7">
        <f>Optimistisch!E13</f>
        <v>2.09</v>
      </c>
      <c r="F13" s="7">
        <f>Optimistisch!F13</f>
        <v>3.669</v>
      </c>
      <c r="G13" s="7">
        <f>Optimistisch!G13</f>
        <v>3.785</v>
      </c>
      <c r="H13" s="8">
        <f>Optimistisch!H13</f>
        <v>4.390841907</v>
      </c>
      <c r="I13" s="8">
        <f>Optimistisch!I13</f>
        <v>4.904282487</v>
      </c>
      <c r="J13" s="8">
        <f>Optimistisch!J13</f>
        <v>5.347699544</v>
      </c>
      <c r="K13" s="8">
        <f t="shared" ref="K13:R13" si="5">K10*K12</f>
        <v>4.9715744</v>
      </c>
      <c r="L13" s="8">
        <f t="shared" si="5"/>
        <v>5.72209092</v>
      </c>
      <c r="M13" s="8">
        <f t="shared" si="5"/>
        <v>5.813694569</v>
      </c>
      <c r="N13" s="8">
        <f t="shared" si="5"/>
        <v>4.516160259</v>
      </c>
      <c r="O13" s="8">
        <f t="shared" si="5"/>
        <v>5.056486575</v>
      </c>
      <c r="P13" s="8">
        <f t="shared" si="5"/>
        <v>5.609329107</v>
      </c>
      <c r="Q13" s="8">
        <f t="shared" si="5"/>
        <v>6.07911042</v>
      </c>
      <c r="R13" s="8">
        <f t="shared" si="5"/>
        <v>5.297169943</v>
      </c>
    </row>
    <row r="14" ht="15.75" customHeight="1">
      <c r="A14" s="11">
        <v>0.3</v>
      </c>
      <c r="B14" s="2" t="s">
        <v>9</v>
      </c>
      <c r="C14" s="7">
        <f>Optimistisch!C14</f>
        <v>1.532</v>
      </c>
      <c r="D14" s="7">
        <f>Optimistisch!D14</f>
        <v>1.969</v>
      </c>
      <c r="E14" s="7">
        <f>Optimistisch!E14</f>
        <v>1.255</v>
      </c>
      <c r="F14" s="7">
        <f>Optimistisch!F14</f>
        <v>2.589</v>
      </c>
      <c r="G14" s="7">
        <f>Optimistisch!G14</f>
        <v>2.564</v>
      </c>
      <c r="H14" s="8">
        <f>Optimistisch!H14</f>
        <v>2.8896336</v>
      </c>
      <c r="I14" s="8">
        <f>Optimistisch!I14</f>
        <v>3.5968776</v>
      </c>
      <c r="J14" s="8">
        <f>Optimistisch!J14</f>
        <v>4.1754606</v>
      </c>
      <c r="K14" s="8">
        <f t="shared" ref="K14:R14" si="6">K13*(1-$A$14)</f>
        <v>3.48010208</v>
      </c>
      <c r="L14" s="8">
        <f t="shared" si="6"/>
        <v>4.005463644</v>
      </c>
      <c r="M14" s="8">
        <f t="shared" si="6"/>
        <v>4.069586198</v>
      </c>
      <c r="N14" s="8">
        <f t="shared" si="6"/>
        <v>3.161312181</v>
      </c>
      <c r="O14" s="8">
        <f t="shared" si="6"/>
        <v>3.539540603</v>
      </c>
      <c r="P14" s="8">
        <f t="shared" si="6"/>
        <v>3.926530375</v>
      </c>
      <c r="Q14" s="8">
        <f t="shared" si="6"/>
        <v>4.255377294</v>
      </c>
      <c r="R14" s="8">
        <f t="shared" si="6"/>
        <v>3.70801896</v>
      </c>
    </row>
    <row r="15" ht="15.75" customHeight="1">
      <c r="A15" s="11">
        <v>0.98</v>
      </c>
      <c r="B15" s="2" t="s">
        <v>10</v>
      </c>
      <c r="H15" s="8">
        <f>C33</f>
        <v>0.217430759</v>
      </c>
      <c r="I15" s="8">
        <f t="shared" ref="I15:Q15" si="7">H15*$A$15</f>
        <v>0.2130821438</v>
      </c>
      <c r="J15" s="8">
        <f t="shared" si="7"/>
        <v>0.2088205009</v>
      </c>
      <c r="K15" s="8">
        <f t="shared" si="7"/>
        <v>0.2046440909</v>
      </c>
      <c r="L15" s="8">
        <f t="shared" si="7"/>
        <v>0.2005512091</v>
      </c>
      <c r="M15" s="8">
        <f t="shared" si="7"/>
        <v>0.1965401849</v>
      </c>
      <c r="N15" s="8">
        <f t="shared" si="7"/>
        <v>0.1926093812</v>
      </c>
      <c r="O15" s="8">
        <f t="shared" si="7"/>
        <v>0.1887571936</v>
      </c>
      <c r="P15" s="8">
        <f t="shared" si="7"/>
        <v>0.1849820497</v>
      </c>
      <c r="Q15" s="8">
        <f t="shared" si="7"/>
        <v>0.1812824087</v>
      </c>
      <c r="R15" s="6" t="s">
        <v>6</v>
      </c>
    </row>
    <row r="16" ht="15.75" customHeight="1">
      <c r="B16" s="2" t="s">
        <v>11</v>
      </c>
      <c r="H16" s="8">
        <f t="shared" ref="H16:Q16" si="8">H14/H15</f>
        <v>13.28990256</v>
      </c>
      <c r="I16" s="8">
        <f t="shared" si="8"/>
        <v>16.8802394</v>
      </c>
      <c r="J16" s="8">
        <f t="shared" si="8"/>
        <v>19.99545342</v>
      </c>
      <c r="K16" s="8">
        <f t="shared" si="8"/>
        <v>17.0056319</v>
      </c>
      <c r="L16" s="8">
        <f t="shared" si="8"/>
        <v>19.97227372</v>
      </c>
      <c r="M16" s="8">
        <f t="shared" si="8"/>
        <v>20.70612786</v>
      </c>
      <c r="N16" s="8">
        <f t="shared" si="8"/>
        <v>16.4130748</v>
      </c>
      <c r="O16" s="8">
        <f t="shared" si="8"/>
        <v>18.75181833</v>
      </c>
      <c r="P16" s="8">
        <f t="shared" si="8"/>
        <v>21.22654809</v>
      </c>
      <c r="Q16" s="8">
        <f t="shared" si="8"/>
        <v>23.47374643</v>
      </c>
      <c r="R16" s="6" t="s">
        <v>6</v>
      </c>
    </row>
    <row r="17" ht="15.75" customHeight="1">
      <c r="F17" s="12" t="s">
        <v>12</v>
      </c>
      <c r="G17" s="13"/>
      <c r="H17" s="14">
        <f>H14/(1+$B$29)</f>
        <v>2.721202076</v>
      </c>
      <c r="I17" s="14">
        <f>I14/(1+$B$29)^2</f>
        <v>3.189787042</v>
      </c>
      <c r="J17" s="14">
        <f>J14/(1+$B$29)^3</f>
        <v>3.487052093</v>
      </c>
      <c r="K17" s="14">
        <f>K14/(1+$B$29)^4</f>
        <v>2.736932228</v>
      </c>
      <c r="L17" s="14">
        <f>L14/(1+$B$29)^5</f>
        <v>2.966489871</v>
      </c>
      <c r="M17" s="14">
        <f>M14/(1+$B$29)^6</f>
        <v>2.838300295</v>
      </c>
      <c r="N17" s="14">
        <f>N14/(1+$B$29)^7</f>
        <v>2.076316191</v>
      </c>
      <c r="O17" s="14">
        <f>O14/(1+$B$29)^8</f>
        <v>2.189228128</v>
      </c>
      <c r="P17" s="14">
        <f>P14/(1+$B$29)^9</f>
        <v>2.287025977</v>
      </c>
      <c r="Q17" s="14">
        <f>Q14/(1+$B$29)^10</f>
        <v>2.33409336</v>
      </c>
      <c r="R17" s="15">
        <f>(R14/(B29-R11))/(1+B29)^10</f>
        <v>39.1911685</v>
      </c>
    </row>
    <row r="18" ht="15.75" customHeight="1"/>
    <row r="19" ht="15.75" customHeight="1">
      <c r="A19" s="16" t="s">
        <v>13</v>
      </c>
      <c r="B19" s="17"/>
    </row>
    <row r="20" ht="15.75" customHeight="1">
      <c r="B20" s="18"/>
    </row>
    <row r="21" ht="15.75" customHeight="1">
      <c r="A21" s="2" t="s">
        <v>14</v>
      </c>
      <c r="B21" s="19">
        <f>Optimistisch!B21</f>
        <v>0.02948</v>
      </c>
    </row>
    <row r="22" ht="15.75" customHeight="1">
      <c r="B22" s="18"/>
    </row>
    <row r="23" ht="15.75" customHeight="1">
      <c r="A23" s="2" t="s">
        <v>15</v>
      </c>
      <c r="B23" s="19">
        <f>(B25-B21)*B27</f>
        <v>0.032416</v>
      </c>
    </row>
    <row r="24" ht="15.75" customHeight="1">
      <c r="B24" s="18"/>
    </row>
    <row r="25" ht="15.75" customHeight="1">
      <c r="A25" s="2" t="s">
        <v>16</v>
      </c>
      <c r="B25" s="19">
        <f>Optimistisch!B25</f>
        <v>0.07</v>
      </c>
    </row>
    <row r="26" ht="15.75" customHeight="1">
      <c r="B26" s="18"/>
    </row>
    <row r="27" ht="15.75" customHeight="1">
      <c r="A27" s="2" t="s">
        <v>17</v>
      </c>
      <c r="B27" s="20">
        <f>Optimistisch!B27</f>
        <v>0.8</v>
      </c>
    </row>
    <row r="28" ht="15.75" customHeight="1">
      <c r="B28" s="18"/>
    </row>
    <row r="29" ht="15.75" customHeight="1">
      <c r="A29" s="21" t="s">
        <v>18</v>
      </c>
      <c r="B29" s="22">
        <f>B21+(B25-B21)*B27</f>
        <v>0.061896</v>
      </c>
    </row>
    <row r="30" ht="15.75" customHeight="1"/>
    <row r="31" ht="15.75" customHeight="1">
      <c r="A31" s="3"/>
      <c r="B31" s="3"/>
      <c r="C31" s="23">
        <f>Optimistisch!C31</f>
        <v>45448</v>
      </c>
      <c r="D31" s="24" t="s">
        <v>19</v>
      </c>
    </row>
    <row r="32" ht="15.75" customHeight="1">
      <c r="A32" s="5" t="s">
        <v>20</v>
      </c>
      <c r="B32" s="5" t="s">
        <v>21</v>
      </c>
      <c r="C32" s="8">
        <f>C33*C34</f>
        <v>64.33123867</v>
      </c>
      <c r="D32" s="8">
        <f>SUM(H17:R17)</f>
        <v>66.01759576</v>
      </c>
    </row>
    <row r="33" ht="15.75" customHeight="1">
      <c r="A33" s="5"/>
      <c r="B33" s="5" t="s">
        <v>22</v>
      </c>
      <c r="C33" s="8">
        <f>Optimistisch!C33</f>
        <v>0.217430759</v>
      </c>
      <c r="D33" s="8">
        <f>C33</f>
        <v>0.217430759</v>
      </c>
    </row>
    <row r="34" ht="15.75" customHeight="1">
      <c r="A34" s="5"/>
      <c r="B34" s="5" t="s">
        <v>23</v>
      </c>
      <c r="C34" s="8">
        <f>Optimistisch!C34</f>
        <v>295.87</v>
      </c>
      <c r="D34" s="8">
        <f>D32/D33</f>
        <v>303.625835</v>
      </c>
    </row>
    <row r="35" ht="15.75" customHeight="1">
      <c r="A35" s="5"/>
      <c r="B35" s="5" t="s">
        <v>24</v>
      </c>
      <c r="C35" s="5"/>
      <c r="D35" s="11">
        <f>IF(C34/D34-1&gt;0,0,C34/D34-1)*-1</f>
        <v>0.02554405503</v>
      </c>
    </row>
    <row r="36" ht="15.75" customHeight="1">
      <c r="A36" s="5"/>
      <c r="B36" s="5" t="s">
        <v>25</v>
      </c>
      <c r="C36" s="5"/>
      <c r="D36" s="11">
        <f>IF(C34/D34-1&lt;0,0,C34/D34-1)</f>
        <v>0</v>
      </c>
    </row>
    <row r="37" ht="15.75" customHeight="1">
      <c r="A37" s="26"/>
      <c r="B37" s="26"/>
      <c r="C37" s="26"/>
      <c r="D37" s="26"/>
    </row>
    <row r="38" ht="15.75" customHeight="1">
      <c r="A38" s="27" t="s">
        <v>26</v>
      </c>
      <c r="B38" s="28"/>
      <c r="C38" s="28"/>
      <c r="D38" s="17"/>
    </row>
    <row r="39" ht="15.75" customHeight="1">
      <c r="A39" s="29"/>
      <c r="D39" s="18"/>
    </row>
    <row r="40" ht="15.75" customHeight="1">
      <c r="A40" s="29" t="str">
        <f>"KGV in "&amp;Q9&amp;":"</f>
        <v>KGV in 2033:</v>
      </c>
      <c r="D40" s="33">
        <v>16.0</v>
      </c>
    </row>
    <row r="41" ht="15.75" customHeight="1">
      <c r="A41" s="29"/>
      <c r="D41" s="18"/>
    </row>
    <row r="42" ht="15.75" customHeight="1">
      <c r="A42" s="29" t="str">
        <f>"Aktienkurs in "&amp;Q9&amp;":"</f>
        <v>Aktienkurs in 2033:</v>
      </c>
      <c r="D42" s="20">
        <f>Q16*D40</f>
        <v>375.5799428</v>
      </c>
    </row>
    <row r="43" ht="15.75" customHeight="1">
      <c r="A43" s="29"/>
      <c r="D43" s="18"/>
    </row>
    <row r="44" ht="15.75" customHeight="1">
      <c r="A44" s="29" t="s">
        <v>27</v>
      </c>
      <c r="D44" s="19">
        <v>0.2</v>
      </c>
    </row>
    <row r="45" ht="15.75" customHeight="1">
      <c r="A45" s="29"/>
      <c r="D45" s="18"/>
    </row>
    <row r="46" ht="15.75" customHeight="1">
      <c r="A46" s="29" t="s">
        <v>28</v>
      </c>
      <c r="D46" s="20">
        <f>D44*SUM(H16:Q16)</f>
        <v>37.5429633</v>
      </c>
    </row>
    <row r="47" ht="15.75" customHeight="1">
      <c r="A47" s="29"/>
      <c r="D47" s="18"/>
    </row>
    <row r="48" ht="15.75" customHeight="1">
      <c r="A48" s="29" t="s">
        <v>29</v>
      </c>
      <c r="D48" s="19">
        <f>Optimistisch!D48</f>
        <v>0</v>
      </c>
    </row>
    <row r="49" ht="15.75" customHeight="1">
      <c r="A49" s="29"/>
      <c r="D49" s="18"/>
    </row>
    <row r="50" ht="15.75" customHeight="1">
      <c r="A50" s="29" t="str">
        <f>"Gesamtwert "&amp;Q9</f>
        <v>Gesamtwert 2033</v>
      </c>
      <c r="D50" s="20">
        <f>D42+D46*(1-D48)</f>
        <v>413.1229061</v>
      </c>
    </row>
    <row r="51" ht="15.75" customHeight="1">
      <c r="A51" s="29"/>
      <c r="D51" s="18"/>
    </row>
    <row r="52" ht="15.75" customHeight="1">
      <c r="A52" s="29" t="str">
        <f>"Steigerung bis "&amp;Q9</f>
        <v>Steigerung bis 2033</v>
      </c>
      <c r="D52" s="19">
        <f>D50/C34-1</f>
        <v>0.396298733</v>
      </c>
    </row>
    <row r="53" ht="15.75" customHeight="1">
      <c r="A53" s="29"/>
      <c r="D53" s="18"/>
    </row>
    <row r="54" ht="15.75" customHeight="1">
      <c r="A54" s="30" t="str">
        <f>"Renditeerwartung bis "&amp;Q9&amp;" pro Jahr"</f>
        <v>Renditeerwartung bis 2033 pro Jahr</v>
      </c>
      <c r="B54" s="31"/>
      <c r="C54" s="31"/>
      <c r="D54" s="32">
        <f>(D50/C34)^(1/10)-1</f>
        <v>0.0339459452</v>
      </c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7.44"/>
    <col customWidth="1" min="2" max="2" width="27.22"/>
    <col customWidth="1" min="3" max="18" width="10.33"/>
    <col customWidth="1" min="19" max="26" width="8.33"/>
  </cols>
  <sheetData>
    <row r="1" ht="15.75" customHeight="1"/>
    <row r="2" ht="15.75" customHeight="1">
      <c r="B2" s="1" t="s">
        <v>0</v>
      </c>
    </row>
    <row r="3" ht="15.75" customHeight="1"/>
    <row r="4" ht="15.75" customHeight="1">
      <c r="B4" s="2" t="str">
        <f>Optimistisch!B4</f>
        <v>Annahmen für Aon</v>
      </c>
    </row>
    <row r="5" ht="15.75" customHeight="1"/>
    <row r="6" ht="15.75" customHeight="1">
      <c r="B6" s="2" t="str">
        <f>Optimistisch!B6</f>
        <v>Alle Angaben in Mrd.</v>
      </c>
    </row>
    <row r="7" ht="15.75" customHeight="1"/>
    <row r="8" ht="15.75" customHeight="1">
      <c r="A8" s="3"/>
      <c r="B8" s="3"/>
      <c r="C8" s="3"/>
      <c r="D8" s="3"/>
      <c r="E8" s="3"/>
      <c r="F8" s="3"/>
      <c r="G8" s="3"/>
      <c r="H8" s="4" t="s">
        <v>3</v>
      </c>
      <c r="I8" s="3"/>
      <c r="J8" s="3"/>
      <c r="K8" s="3"/>
      <c r="L8" s="3"/>
      <c r="M8" s="3"/>
      <c r="N8" s="3"/>
      <c r="O8" s="3"/>
      <c r="P8" s="3"/>
      <c r="Q8" s="3"/>
      <c r="R8" s="3"/>
    </row>
    <row r="9" ht="15.75" customHeight="1">
      <c r="C9" s="2">
        <f>Optimistisch!C9</f>
        <v>2019</v>
      </c>
      <c r="D9" s="2">
        <f t="shared" ref="D9:Q9" si="1">C9+1</f>
        <v>2020</v>
      </c>
      <c r="E9" s="2">
        <f t="shared" si="1"/>
        <v>2021</v>
      </c>
      <c r="F9" s="2">
        <f t="shared" si="1"/>
        <v>2022</v>
      </c>
      <c r="G9" s="2">
        <f t="shared" si="1"/>
        <v>2023</v>
      </c>
      <c r="H9" s="5">
        <f t="shared" si="1"/>
        <v>2024</v>
      </c>
      <c r="I9" s="5">
        <f t="shared" si="1"/>
        <v>2025</v>
      </c>
      <c r="J9" s="5">
        <f t="shared" si="1"/>
        <v>2026</v>
      </c>
      <c r="K9" s="5">
        <f t="shared" si="1"/>
        <v>2027</v>
      </c>
      <c r="L9" s="5">
        <f t="shared" si="1"/>
        <v>2028</v>
      </c>
      <c r="M9" s="5">
        <f t="shared" si="1"/>
        <v>2029</v>
      </c>
      <c r="N9" s="5">
        <f t="shared" si="1"/>
        <v>2030</v>
      </c>
      <c r="O9" s="5">
        <f t="shared" si="1"/>
        <v>2031</v>
      </c>
      <c r="P9" s="5">
        <f t="shared" si="1"/>
        <v>2032</v>
      </c>
      <c r="Q9" s="5">
        <f t="shared" si="1"/>
        <v>2033</v>
      </c>
      <c r="R9" s="6" t="str">
        <f>Q9+1&amp;"ff."</f>
        <v>2034ff.</v>
      </c>
    </row>
    <row r="10" ht="15.75" customHeight="1">
      <c r="B10" s="2" t="s">
        <v>4</v>
      </c>
      <c r="C10" s="7">
        <f>Optimistisch!C10</f>
        <v>11.013</v>
      </c>
      <c r="D10" s="7">
        <f>Optimistisch!D10</f>
        <v>11.066</v>
      </c>
      <c r="E10" s="7">
        <f>Optimistisch!E10</f>
        <v>12.193</v>
      </c>
      <c r="F10" s="7">
        <f>Optimistisch!F10</f>
        <v>12.479</v>
      </c>
      <c r="G10" s="7">
        <f>Optimistisch!G10</f>
        <v>13.376</v>
      </c>
      <c r="H10" s="8">
        <f t="shared" ref="H10:R10" si="2">G10*(1+H11)</f>
        <v>13.436192</v>
      </c>
      <c r="I10" s="8">
        <f t="shared" si="2"/>
        <v>13.49665486</v>
      </c>
      <c r="J10" s="8">
        <f t="shared" si="2"/>
        <v>13.55738981</v>
      </c>
      <c r="K10" s="8">
        <f t="shared" si="2"/>
        <v>13.61839807</v>
      </c>
      <c r="L10" s="8">
        <f t="shared" si="2"/>
        <v>13.67968086</v>
      </c>
      <c r="M10" s="8">
        <f t="shared" si="2"/>
        <v>13.74123942</v>
      </c>
      <c r="N10" s="8">
        <f t="shared" si="2"/>
        <v>13.803075</v>
      </c>
      <c r="O10" s="8">
        <f t="shared" si="2"/>
        <v>13.86518884</v>
      </c>
      <c r="P10" s="8">
        <f t="shared" si="2"/>
        <v>13.92758218</v>
      </c>
      <c r="Q10" s="8">
        <f t="shared" si="2"/>
        <v>13.9902563</v>
      </c>
      <c r="R10" s="8">
        <f t="shared" si="2"/>
        <v>14.27006143</v>
      </c>
    </row>
    <row r="11" ht="15.75" customHeight="1">
      <c r="B11" s="2" t="s">
        <v>5</v>
      </c>
      <c r="C11" s="9" t="s">
        <v>6</v>
      </c>
      <c r="D11" s="10">
        <f t="shared" ref="D11:G11" si="3">D10/C10-1</f>
        <v>0.004812494325</v>
      </c>
      <c r="E11" s="10">
        <f t="shared" si="3"/>
        <v>0.1018434845</v>
      </c>
      <c r="F11" s="10">
        <f t="shared" si="3"/>
        <v>0.02345608136</v>
      </c>
      <c r="G11" s="10">
        <f t="shared" si="3"/>
        <v>0.07188075968</v>
      </c>
      <c r="H11" s="11">
        <v>0.0045</v>
      </c>
      <c r="I11" s="11">
        <f t="shared" ref="I11:Q11" si="4">$H$11</f>
        <v>0.0045</v>
      </c>
      <c r="J11" s="11">
        <f t="shared" si="4"/>
        <v>0.0045</v>
      </c>
      <c r="K11" s="11">
        <f t="shared" si="4"/>
        <v>0.0045</v>
      </c>
      <c r="L11" s="11">
        <f t="shared" si="4"/>
        <v>0.0045</v>
      </c>
      <c r="M11" s="11">
        <f t="shared" si="4"/>
        <v>0.0045</v>
      </c>
      <c r="N11" s="11">
        <f t="shared" si="4"/>
        <v>0.0045</v>
      </c>
      <c r="O11" s="11">
        <f t="shared" si="4"/>
        <v>0.0045</v>
      </c>
      <c r="P11" s="11">
        <f t="shared" si="4"/>
        <v>0.0045</v>
      </c>
      <c r="Q11" s="11">
        <f t="shared" si="4"/>
        <v>0.0045</v>
      </c>
      <c r="R11" s="11">
        <f>Optimistisch!R11</f>
        <v>0.02</v>
      </c>
    </row>
    <row r="12" ht="15.75" customHeight="1">
      <c r="B12" s="2" t="s">
        <v>7</v>
      </c>
      <c r="C12" s="10">
        <f t="shared" ref="C12:G12" si="5">C13/C10</f>
        <v>0.1969490602</v>
      </c>
      <c r="D12" s="10">
        <f t="shared" si="5"/>
        <v>0.2513103199</v>
      </c>
      <c r="E12" s="10">
        <f t="shared" si="5"/>
        <v>0.1714098253</v>
      </c>
      <c r="F12" s="10">
        <f t="shared" si="5"/>
        <v>0.2940139434</v>
      </c>
      <c r="G12" s="10">
        <f t="shared" si="5"/>
        <v>0.2829694976</v>
      </c>
      <c r="H12" s="11">
        <f>Optimistisch!H12</f>
        <v>0.2797427311</v>
      </c>
      <c r="I12" s="11">
        <f>Optimistisch!I12</f>
        <v>0.28305913</v>
      </c>
      <c r="J12" s="11">
        <f>Optimistisch!J12</f>
        <v>0.2908571491</v>
      </c>
      <c r="K12" s="11">
        <f>Optimistisch!K12</f>
        <v>0.295</v>
      </c>
      <c r="L12" s="11">
        <f>Optimistisch!L12</f>
        <v>0.2925</v>
      </c>
      <c r="M12" s="11">
        <f>Optimistisch!M12</f>
        <v>0.3</v>
      </c>
      <c r="N12" s="11">
        <f>Optimistisch!N12</f>
        <v>0.305</v>
      </c>
      <c r="O12" s="11">
        <f>Optimistisch!O12</f>
        <v>0.245</v>
      </c>
      <c r="P12" s="11">
        <f>Optimistisch!P12</f>
        <v>0.31</v>
      </c>
      <c r="Q12" s="11">
        <f>Optimistisch!Q12</f>
        <v>0.32</v>
      </c>
      <c r="R12" s="11">
        <f>Optimistisch!R12</f>
        <v>0.3</v>
      </c>
    </row>
    <row r="13" ht="15.75" customHeight="1">
      <c r="B13" s="2" t="s">
        <v>8</v>
      </c>
      <c r="C13" s="7">
        <f>Optimistisch!C13</f>
        <v>2.169</v>
      </c>
      <c r="D13" s="7">
        <f>Optimistisch!D13</f>
        <v>2.781</v>
      </c>
      <c r="E13" s="7">
        <f>Optimistisch!E13</f>
        <v>2.09</v>
      </c>
      <c r="F13" s="7">
        <f>Optimistisch!F13</f>
        <v>3.669</v>
      </c>
      <c r="G13" s="7">
        <f>Optimistisch!G13</f>
        <v>3.785</v>
      </c>
      <c r="H13" s="8">
        <f t="shared" ref="H13:R13" si="6">H10*H12</f>
        <v>3.758677045</v>
      </c>
      <c r="I13" s="8">
        <f t="shared" si="6"/>
        <v>3.820351384</v>
      </c>
      <c r="J13" s="8">
        <f t="shared" si="6"/>
        <v>3.94326375</v>
      </c>
      <c r="K13" s="8">
        <f t="shared" si="6"/>
        <v>4.017427429</v>
      </c>
      <c r="L13" s="8">
        <f t="shared" si="6"/>
        <v>4.00130665</v>
      </c>
      <c r="M13" s="8">
        <f t="shared" si="6"/>
        <v>4.122371826</v>
      </c>
      <c r="N13" s="8">
        <f t="shared" si="6"/>
        <v>4.209937874</v>
      </c>
      <c r="O13" s="8">
        <f t="shared" si="6"/>
        <v>3.396971265</v>
      </c>
      <c r="P13" s="8">
        <f t="shared" si="6"/>
        <v>4.317550477</v>
      </c>
      <c r="Q13" s="8">
        <f t="shared" si="6"/>
        <v>4.476882017</v>
      </c>
      <c r="R13" s="8">
        <f t="shared" si="6"/>
        <v>4.281018429</v>
      </c>
    </row>
    <row r="14" ht="15.75" customHeight="1">
      <c r="A14" s="11">
        <f>Optimistisch!A14</f>
        <v>0.25</v>
      </c>
      <c r="B14" s="2" t="s">
        <v>9</v>
      </c>
      <c r="C14" s="7">
        <f>Optimistisch!C14</f>
        <v>1.532</v>
      </c>
      <c r="D14" s="7">
        <f>Optimistisch!D14</f>
        <v>1.969</v>
      </c>
      <c r="E14" s="7">
        <f>Optimistisch!E14</f>
        <v>1.255</v>
      </c>
      <c r="F14" s="7">
        <f>Optimistisch!F14</f>
        <v>2.589</v>
      </c>
      <c r="G14" s="7">
        <f>Optimistisch!G14</f>
        <v>2.564</v>
      </c>
      <c r="H14" s="8">
        <f t="shared" ref="H14:R14" si="7">H13*(1-$A$14)</f>
        <v>2.819007784</v>
      </c>
      <c r="I14" s="8">
        <f t="shared" si="7"/>
        <v>2.865263538</v>
      </c>
      <c r="J14" s="8">
        <f t="shared" si="7"/>
        <v>2.957447812</v>
      </c>
      <c r="K14" s="8">
        <f t="shared" si="7"/>
        <v>3.013070572</v>
      </c>
      <c r="L14" s="8">
        <f t="shared" si="7"/>
        <v>3.000979988</v>
      </c>
      <c r="M14" s="8">
        <f t="shared" si="7"/>
        <v>3.09177887</v>
      </c>
      <c r="N14" s="8">
        <f t="shared" si="7"/>
        <v>3.157453406</v>
      </c>
      <c r="O14" s="8">
        <f t="shared" si="7"/>
        <v>2.547728448</v>
      </c>
      <c r="P14" s="8">
        <f t="shared" si="7"/>
        <v>3.238162858</v>
      </c>
      <c r="Q14" s="8">
        <f t="shared" si="7"/>
        <v>3.357661513</v>
      </c>
      <c r="R14" s="8">
        <f t="shared" si="7"/>
        <v>3.210763822</v>
      </c>
    </row>
    <row r="15" ht="15.75" customHeight="1">
      <c r="A15" s="11">
        <f>Optimistisch!A15</f>
        <v>0.965</v>
      </c>
      <c r="B15" s="2" t="s">
        <v>10</v>
      </c>
      <c r="H15" s="8">
        <f>C33</f>
        <v>0.217430759</v>
      </c>
      <c r="I15" s="8">
        <f t="shared" ref="I15:Q15" si="8">H15*$A$15</f>
        <v>0.2098206824</v>
      </c>
      <c r="J15" s="8">
        <f t="shared" si="8"/>
        <v>0.2024769585</v>
      </c>
      <c r="K15" s="8">
        <f t="shared" si="8"/>
        <v>0.195390265</v>
      </c>
      <c r="L15" s="8">
        <f t="shared" si="8"/>
        <v>0.1885516057</v>
      </c>
      <c r="M15" s="8">
        <f t="shared" si="8"/>
        <v>0.1819522995</v>
      </c>
      <c r="N15" s="8">
        <f t="shared" si="8"/>
        <v>0.175583969</v>
      </c>
      <c r="O15" s="8">
        <f t="shared" si="8"/>
        <v>0.1694385301</v>
      </c>
      <c r="P15" s="8">
        <f t="shared" si="8"/>
        <v>0.1635081816</v>
      </c>
      <c r="Q15" s="8">
        <f t="shared" si="8"/>
        <v>0.1577853952</v>
      </c>
      <c r="R15" s="6" t="s">
        <v>6</v>
      </c>
    </row>
    <row r="16" ht="15.75" customHeight="1">
      <c r="B16" s="2" t="s">
        <v>11</v>
      </c>
      <c r="H16" s="8">
        <f t="shared" ref="H16:Q16" si="9">H14/H15</f>
        <v>12.96508276</v>
      </c>
      <c r="I16" s="8">
        <f t="shared" si="9"/>
        <v>13.65577266</v>
      </c>
      <c r="J16" s="8">
        <f t="shared" si="9"/>
        <v>14.60634254</v>
      </c>
      <c r="K16" s="8">
        <f t="shared" si="9"/>
        <v>15.42078144</v>
      </c>
      <c r="L16" s="8">
        <f t="shared" si="9"/>
        <v>15.91596092</v>
      </c>
      <c r="M16" s="8">
        <f t="shared" si="9"/>
        <v>16.99224949</v>
      </c>
      <c r="N16" s="8">
        <f t="shared" si="9"/>
        <v>17.98258362</v>
      </c>
      <c r="O16" s="8">
        <f t="shared" si="9"/>
        <v>15.03629928</v>
      </c>
      <c r="P16" s="8">
        <f t="shared" si="9"/>
        <v>19.80428641</v>
      </c>
      <c r="Q16" s="8">
        <f t="shared" si="9"/>
        <v>21.27992587</v>
      </c>
      <c r="R16" s="6" t="s">
        <v>6</v>
      </c>
    </row>
    <row r="17" ht="15.75" customHeight="1">
      <c r="F17" s="12" t="s">
        <v>12</v>
      </c>
      <c r="G17" s="13"/>
      <c r="H17" s="14">
        <f>H14/(1+$B$29)</f>
        <v>2.654692912</v>
      </c>
      <c r="I17" s="14">
        <f>I14/(1+$B$29)^2</f>
        <v>2.540976236</v>
      </c>
      <c r="J17" s="14">
        <f>J14/(1+$B$29)^3</f>
        <v>2.469853166</v>
      </c>
      <c r="K17" s="14">
        <f>K14/(1+$B$29)^4</f>
        <v>2.3696345</v>
      </c>
      <c r="L17" s="14">
        <f>L14/(1+$B$29)^5</f>
        <v>2.222558367</v>
      </c>
      <c r="M17" s="14">
        <f>M14/(1+$B$29)^6</f>
        <v>2.156336407</v>
      </c>
      <c r="N17" s="14">
        <f>N14/(1+$B$29)^7</f>
        <v>2.073781788</v>
      </c>
      <c r="O17" s="14">
        <f>O14/(1+$B$29)^8</f>
        <v>1.575786072</v>
      </c>
      <c r="P17" s="14">
        <f>P14/(1+$B$29)^9</f>
        <v>1.886083098</v>
      </c>
      <c r="Q17" s="14">
        <f>Q14/(1+$B$29)^10</f>
        <v>1.841692264</v>
      </c>
      <c r="R17" s="15">
        <f>(R14/(B29-R11))/(1+B29)^10</f>
        <v>42.03547421</v>
      </c>
    </row>
    <row r="18" ht="15.75" customHeight="1"/>
    <row r="19" ht="15.75" customHeight="1">
      <c r="A19" s="16" t="s">
        <v>13</v>
      </c>
      <c r="B19" s="17"/>
    </row>
    <row r="20" ht="15.75" customHeight="1">
      <c r="B20" s="18"/>
    </row>
    <row r="21" ht="15.75" customHeight="1">
      <c r="A21" s="2" t="s">
        <v>14</v>
      </c>
      <c r="B21" s="19">
        <f>Optimistisch!B21</f>
        <v>0.02948</v>
      </c>
    </row>
    <row r="22" ht="15.75" customHeight="1">
      <c r="B22" s="18"/>
    </row>
    <row r="23" ht="15.75" customHeight="1">
      <c r="A23" s="2" t="s">
        <v>15</v>
      </c>
      <c r="B23" s="19">
        <f>(B25-B21)*B27</f>
        <v>0.032416</v>
      </c>
    </row>
    <row r="24" ht="15.75" customHeight="1">
      <c r="B24" s="18"/>
    </row>
    <row r="25" ht="15.75" customHeight="1">
      <c r="A25" s="2" t="s">
        <v>16</v>
      </c>
      <c r="B25" s="19">
        <f>Optimistisch!B25</f>
        <v>0.07</v>
      </c>
    </row>
    <row r="26" ht="15.75" customHeight="1">
      <c r="B26" s="18"/>
    </row>
    <row r="27" ht="15.75" customHeight="1">
      <c r="A27" s="2" t="s">
        <v>17</v>
      </c>
      <c r="B27" s="20">
        <f>Optimistisch!B27</f>
        <v>0.8</v>
      </c>
    </row>
    <row r="28" ht="15.75" customHeight="1">
      <c r="B28" s="18"/>
    </row>
    <row r="29" ht="15.75" customHeight="1">
      <c r="A29" s="21" t="s">
        <v>18</v>
      </c>
      <c r="B29" s="22">
        <f>B21+(B25-B21)*B27</f>
        <v>0.061896</v>
      </c>
    </row>
    <row r="30" ht="15.75" customHeight="1"/>
    <row r="31" ht="15.75" customHeight="1">
      <c r="A31" s="3"/>
      <c r="B31" s="3"/>
      <c r="C31" s="23">
        <f>Optimistisch!C31</f>
        <v>45448</v>
      </c>
      <c r="D31" s="24" t="s">
        <v>19</v>
      </c>
    </row>
    <row r="32" ht="15.75" customHeight="1">
      <c r="A32" s="5" t="s">
        <v>20</v>
      </c>
      <c r="B32" s="5" t="s">
        <v>21</v>
      </c>
      <c r="C32" s="8">
        <f>C33*C34</f>
        <v>64.33123867</v>
      </c>
      <c r="D32" s="8">
        <f>SUM(H17:R17)</f>
        <v>63.82686901</v>
      </c>
    </row>
    <row r="33" ht="15.75" customHeight="1">
      <c r="A33" s="5"/>
      <c r="B33" s="5" t="s">
        <v>22</v>
      </c>
      <c r="C33" s="8">
        <f>Optimistisch!C33</f>
        <v>0.217430759</v>
      </c>
      <c r="D33" s="8">
        <f>C33</f>
        <v>0.217430759</v>
      </c>
    </row>
    <row r="34" ht="15.75" customHeight="1">
      <c r="A34" s="5"/>
      <c r="B34" s="5" t="s">
        <v>23</v>
      </c>
      <c r="C34" s="8">
        <f>Optimistisch!C34</f>
        <v>295.87</v>
      </c>
      <c r="D34" s="8">
        <f>D32/D33</f>
        <v>293.5503206</v>
      </c>
    </row>
    <row r="35" ht="15.75" customHeight="1">
      <c r="A35" s="5"/>
      <c r="B35" s="5" t="s">
        <v>24</v>
      </c>
      <c r="C35" s="5"/>
      <c r="D35" s="11">
        <f>IF(C34/D34-1&gt;0,0,C34/D34-1)*-1</f>
        <v>0</v>
      </c>
    </row>
    <row r="36" ht="15.75" customHeight="1">
      <c r="A36" s="5"/>
      <c r="B36" s="5" t="s">
        <v>25</v>
      </c>
      <c r="C36" s="5"/>
      <c r="D36" s="11">
        <f>IF(C34/D34-1&lt;0,0,C34/D34-1)</f>
        <v>0.007902152466</v>
      </c>
    </row>
    <row r="37" ht="15.75" customHeight="1">
      <c r="A37" s="26"/>
      <c r="B37" s="26"/>
      <c r="C37" s="26"/>
      <c r="D37" s="26"/>
    </row>
    <row r="38" ht="15.75" customHeight="1">
      <c r="A38" s="27" t="s">
        <v>26</v>
      </c>
      <c r="B38" s="28"/>
      <c r="C38" s="28"/>
      <c r="D38" s="17"/>
    </row>
    <row r="39" ht="15.75" customHeight="1">
      <c r="A39" s="29"/>
      <c r="D39" s="18"/>
    </row>
    <row r="40" ht="15.75" customHeight="1">
      <c r="A40" s="29" t="str">
        <f>"KGV in "&amp;Q9&amp;":"</f>
        <v>KGV in 2033:</v>
      </c>
      <c r="D40" s="20">
        <v>34.0</v>
      </c>
    </row>
    <row r="41" ht="15.75" customHeight="1">
      <c r="A41" s="29"/>
      <c r="D41" s="18"/>
    </row>
    <row r="42" ht="15.75" customHeight="1">
      <c r="A42" s="29" t="str">
        <f>"Aktienkurs in "&amp;Q9&amp;":"</f>
        <v>Aktienkurs in 2033:</v>
      </c>
      <c r="D42" s="20">
        <f>Q16*D40</f>
        <v>723.5174795</v>
      </c>
    </row>
    <row r="43" ht="15.75" customHeight="1">
      <c r="A43" s="29"/>
      <c r="D43" s="18"/>
    </row>
    <row r="44" ht="15.75" customHeight="1">
      <c r="A44" s="29" t="s">
        <v>27</v>
      </c>
      <c r="D44" s="19">
        <f>Optimistisch!D44</f>
        <v>0.25</v>
      </c>
    </row>
    <row r="45" ht="15.75" customHeight="1">
      <c r="A45" s="29"/>
      <c r="D45" s="18"/>
    </row>
    <row r="46" ht="15.75" customHeight="1">
      <c r="A46" s="29" t="s">
        <v>28</v>
      </c>
      <c r="D46" s="20">
        <f>D44*SUM(H16:Q16)</f>
        <v>40.91482124</v>
      </c>
    </row>
    <row r="47" ht="15.75" customHeight="1">
      <c r="A47" s="29"/>
      <c r="D47" s="18"/>
    </row>
    <row r="48" ht="15.75" customHeight="1">
      <c r="A48" s="29" t="s">
        <v>29</v>
      </c>
      <c r="D48" s="19">
        <f>Optimistisch!D48</f>
        <v>0</v>
      </c>
    </row>
    <row r="49" ht="15.75" customHeight="1">
      <c r="A49" s="29"/>
      <c r="D49" s="18"/>
    </row>
    <row r="50" ht="15.75" customHeight="1">
      <c r="A50" s="29" t="str">
        <f>"Gesamtwert "&amp;Q9</f>
        <v>Gesamtwert 2033</v>
      </c>
      <c r="D50" s="20">
        <f>D42+D46*(1-D48)</f>
        <v>764.4323007</v>
      </c>
    </row>
    <row r="51" ht="15.75" customHeight="1">
      <c r="A51" s="29"/>
      <c r="D51" s="18"/>
    </row>
    <row r="52" ht="15.75" customHeight="1">
      <c r="A52" s="29" t="str">
        <f>"Steigerung bis "&amp;Q9</f>
        <v>Steigerung bis 2033</v>
      </c>
      <c r="D52" s="19">
        <f>D50/C34-1</f>
        <v>1.583676279</v>
      </c>
    </row>
    <row r="53" ht="15.75" customHeight="1">
      <c r="A53" s="29"/>
      <c r="D53" s="18"/>
    </row>
    <row r="54" ht="15.75" customHeight="1">
      <c r="A54" s="30" t="str">
        <f>"Renditeerwartung bis "&amp;Q9&amp;" pro Jahr"</f>
        <v>Renditeerwartung bis 2033 pro Jahr</v>
      </c>
      <c r="B54" s="31"/>
      <c r="C54" s="31"/>
      <c r="D54" s="32">
        <f>(D50/C34)^(1/10)-1</f>
        <v>0.09957234827</v>
      </c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7.44"/>
    <col customWidth="1" min="2" max="2" width="27.22"/>
    <col customWidth="1" min="3" max="14" width="10.33"/>
    <col customWidth="1" hidden="1" min="15" max="18" width="10.33"/>
    <col customWidth="1" min="19" max="26" width="8.33"/>
  </cols>
  <sheetData>
    <row r="1" ht="15.75" customHeight="1"/>
    <row r="2" ht="15.75" customHeight="1">
      <c r="B2" s="1" t="s">
        <v>30</v>
      </c>
    </row>
    <row r="3" ht="15.75" customHeight="1"/>
    <row r="4" ht="15.75" customHeight="1">
      <c r="B4" s="2" t="str">
        <f>Optimistisch!B4</f>
        <v>Annahmen für Aon</v>
      </c>
    </row>
    <row r="5" ht="15.75" customHeight="1"/>
    <row r="6" ht="15.75" customHeight="1">
      <c r="B6" s="2" t="str">
        <f>Optimistisch!B6</f>
        <v>Alle Angaben in Mrd.</v>
      </c>
    </row>
    <row r="7" ht="15.75" customHeight="1"/>
    <row r="8" ht="15.75" customHeight="1">
      <c r="A8" s="3"/>
      <c r="B8" s="3"/>
      <c r="C8" s="3"/>
      <c r="D8" s="3"/>
      <c r="E8" s="3"/>
      <c r="F8" s="3"/>
      <c r="G8" s="3"/>
      <c r="H8" s="4" t="s">
        <v>3</v>
      </c>
      <c r="I8" s="3"/>
      <c r="J8" s="3"/>
      <c r="K8" s="3"/>
      <c r="L8" s="3"/>
      <c r="M8" s="3"/>
    </row>
    <row r="9" ht="15.75" customHeight="1">
      <c r="C9" s="2">
        <f>Optimistisch!C9</f>
        <v>2019</v>
      </c>
      <c r="D9" s="2">
        <f t="shared" ref="D9:M9" si="1">C9+1</f>
        <v>2020</v>
      </c>
      <c r="E9" s="2">
        <f t="shared" si="1"/>
        <v>2021</v>
      </c>
      <c r="F9" s="2">
        <f t="shared" si="1"/>
        <v>2022</v>
      </c>
      <c r="G9" s="2">
        <f t="shared" si="1"/>
        <v>2023</v>
      </c>
      <c r="H9" s="5">
        <f t="shared" si="1"/>
        <v>2024</v>
      </c>
      <c r="I9" s="5">
        <f t="shared" si="1"/>
        <v>2025</v>
      </c>
      <c r="J9" s="5">
        <f t="shared" si="1"/>
        <v>2026</v>
      </c>
      <c r="K9" s="5">
        <f t="shared" si="1"/>
        <v>2027</v>
      </c>
      <c r="L9" s="5">
        <f t="shared" si="1"/>
        <v>2028</v>
      </c>
      <c r="M9" s="5">
        <f t="shared" si="1"/>
        <v>2029</v>
      </c>
      <c r="R9" s="9"/>
    </row>
    <row r="10" ht="15.75" customHeight="1">
      <c r="B10" s="2" t="s">
        <v>4</v>
      </c>
      <c r="C10" s="7">
        <f>Optimistisch!C10</f>
        <v>11.013</v>
      </c>
      <c r="D10" s="7">
        <f>Optimistisch!D10</f>
        <v>11.066</v>
      </c>
      <c r="E10" s="7">
        <f>Optimistisch!E10</f>
        <v>12.193</v>
      </c>
      <c r="F10" s="7">
        <f>Optimistisch!F10</f>
        <v>12.479</v>
      </c>
      <c r="G10" s="7">
        <f>Optimistisch!G10</f>
        <v>13.376</v>
      </c>
      <c r="H10" s="8">
        <f>Optimistisch!H10</f>
        <v>15.696</v>
      </c>
      <c r="I10" s="8">
        <f>Optimistisch!I10</f>
        <v>17.326</v>
      </c>
      <c r="J10" s="8">
        <f>Optimistisch!J10</f>
        <v>18.386</v>
      </c>
      <c r="K10" s="8">
        <f>(Optimistisch!K10+Pessimistisch!K10)/2</f>
        <v>19.39723</v>
      </c>
      <c r="L10" s="8">
        <f>(Optimistisch!L10+Pessimistisch!L10)/2</f>
        <v>20.51463915</v>
      </c>
      <c r="M10" s="8">
        <f>(Optimistisch!M10+Pessimistisch!M10)/2</f>
        <v>21.07988454</v>
      </c>
      <c r="N10" s="7"/>
      <c r="O10" s="7"/>
      <c r="P10" s="7"/>
      <c r="Q10" s="7"/>
      <c r="R10" s="7"/>
    </row>
    <row r="11" ht="15.75" customHeight="1">
      <c r="B11" s="2" t="s">
        <v>31</v>
      </c>
      <c r="C11" s="10">
        <f t="shared" ref="C11:G11" si="2">C12/C10</f>
        <v>0.1461908653</v>
      </c>
      <c r="D11" s="10">
        <f t="shared" si="2"/>
        <v>0.2387493222</v>
      </c>
      <c r="E11" s="10">
        <f t="shared" si="2"/>
        <v>0.1677191831</v>
      </c>
      <c r="F11" s="10">
        <f t="shared" si="2"/>
        <v>0.2422469749</v>
      </c>
      <c r="G11" s="10">
        <f t="shared" si="2"/>
        <v>0.2379635167</v>
      </c>
      <c r="H11" s="11">
        <v>0.1842</v>
      </c>
      <c r="I11" s="11">
        <v>0.2076</v>
      </c>
      <c r="J11" s="11">
        <v>0.2271</v>
      </c>
      <c r="K11" s="11">
        <v>0.24</v>
      </c>
      <c r="L11" s="11">
        <v>0.195</v>
      </c>
      <c r="M11" s="11">
        <v>0.235</v>
      </c>
      <c r="N11" s="10"/>
      <c r="O11" s="10"/>
      <c r="P11" s="10"/>
      <c r="Q11" s="10"/>
      <c r="R11" s="10"/>
    </row>
    <row r="12" ht="15.75" customHeight="1">
      <c r="B12" s="2" t="s">
        <v>32</v>
      </c>
      <c r="C12" s="7">
        <v>1.61</v>
      </c>
      <c r="D12" s="7">
        <v>2.642</v>
      </c>
      <c r="E12" s="7">
        <v>2.045</v>
      </c>
      <c r="F12" s="7">
        <v>3.023</v>
      </c>
      <c r="G12" s="7">
        <v>3.183</v>
      </c>
      <c r="H12" s="8">
        <f t="shared" ref="H12:M12" si="3">H10*H11</f>
        <v>2.8912032</v>
      </c>
      <c r="I12" s="8">
        <f t="shared" si="3"/>
        <v>3.5968776</v>
      </c>
      <c r="J12" s="8">
        <f t="shared" si="3"/>
        <v>4.1754606</v>
      </c>
      <c r="K12" s="8">
        <f t="shared" si="3"/>
        <v>4.6553352</v>
      </c>
      <c r="L12" s="8">
        <f t="shared" si="3"/>
        <v>4.000354634</v>
      </c>
      <c r="M12" s="8">
        <f t="shared" si="3"/>
        <v>4.953772868</v>
      </c>
      <c r="N12" s="7"/>
      <c r="O12" s="7"/>
      <c r="P12" s="7"/>
      <c r="Q12" s="7"/>
      <c r="R12" s="7"/>
    </row>
    <row r="13" ht="15.75" customHeight="1">
      <c r="F13" s="12" t="s">
        <v>33</v>
      </c>
      <c r="G13" s="13"/>
      <c r="H13" s="14">
        <f>H12/(1+$B$37)</f>
        <v>2.741810873</v>
      </c>
      <c r="I13" s="14">
        <f>I12/(1+$B$37)^2</f>
        <v>3.23477007</v>
      </c>
      <c r="J13" s="14">
        <f>J12/(1+$B$37)^3</f>
        <v>3.56107422</v>
      </c>
      <c r="K13" s="14">
        <f>K12/(1+$B$37)^4</f>
        <v>3.76518631</v>
      </c>
      <c r="L13" s="14">
        <f>L12/(1+$B$37)^5</f>
        <v>3.068265139</v>
      </c>
      <c r="M13" s="15">
        <f>(M12/(B37-B39))/(1+B37)^5</f>
        <v>69.73321438</v>
      </c>
      <c r="N13" s="7"/>
      <c r="O13" s="7"/>
      <c r="P13" s="7"/>
      <c r="Q13" s="7"/>
      <c r="R13" s="7"/>
    </row>
    <row r="14" ht="15.75" customHeight="1"/>
    <row r="15" ht="15.75" customHeight="1">
      <c r="A15" s="16" t="s">
        <v>13</v>
      </c>
      <c r="B15" s="17"/>
    </row>
    <row r="16" ht="15.75" customHeight="1">
      <c r="B16" s="18"/>
    </row>
    <row r="17" ht="15.75" customHeight="1">
      <c r="A17" s="2" t="s">
        <v>14</v>
      </c>
      <c r="B17" s="19">
        <f>Optimistisch!B21</f>
        <v>0.02948</v>
      </c>
    </row>
    <row r="18" ht="15.75" customHeight="1">
      <c r="B18" s="18"/>
    </row>
    <row r="19" ht="15.75" customHeight="1">
      <c r="A19" s="2" t="s">
        <v>15</v>
      </c>
      <c r="B19" s="19">
        <f>(B21-B17)*B23</f>
        <v>0.032416</v>
      </c>
    </row>
    <row r="20" ht="15.75" customHeight="1">
      <c r="B20" s="18"/>
    </row>
    <row r="21" ht="15.75" customHeight="1">
      <c r="A21" s="2" t="s">
        <v>16</v>
      </c>
      <c r="B21" s="19">
        <f>Optimistisch!B25</f>
        <v>0.07</v>
      </c>
    </row>
    <row r="22" ht="15.75" customHeight="1">
      <c r="B22" s="18"/>
    </row>
    <row r="23" ht="15.75" customHeight="1">
      <c r="A23" s="2" t="s">
        <v>17</v>
      </c>
      <c r="B23" s="20">
        <f>Optimistisch!B27</f>
        <v>0.8</v>
      </c>
    </row>
    <row r="24" ht="15.75" customHeight="1">
      <c r="B24" s="18"/>
    </row>
    <row r="25" ht="15.75" customHeight="1">
      <c r="A25" s="21" t="s">
        <v>18</v>
      </c>
      <c r="B25" s="22">
        <f>B17+(B21-B17)*B23</f>
        <v>0.061896</v>
      </c>
    </row>
    <row r="26" ht="15.75" customHeight="1"/>
    <row r="27" ht="15.75" customHeight="1">
      <c r="A27" s="27" t="s">
        <v>34</v>
      </c>
      <c r="B27" s="17"/>
    </row>
    <row r="28" ht="15.75" customHeight="1">
      <c r="A28" s="29"/>
      <c r="B28" s="18"/>
    </row>
    <row r="29" ht="15.75" customHeight="1">
      <c r="A29" s="29" t="s">
        <v>35</v>
      </c>
      <c r="B29" s="20">
        <f>C42</f>
        <v>64.33123867</v>
      </c>
    </row>
    <row r="30" ht="15.75" customHeight="1">
      <c r="A30" s="29"/>
      <c r="B30" s="18"/>
    </row>
    <row r="31" ht="15.75" customHeight="1">
      <c r="A31" s="29" t="s">
        <v>36</v>
      </c>
      <c r="B31" s="20">
        <v>16.522</v>
      </c>
    </row>
    <row r="32" ht="15.75" customHeight="1">
      <c r="A32" s="29"/>
      <c r="B32" s="18"/>
    </row>
    <row r="33" ht="15.75" customHeight="1">
      <c r="A33" s="29" t="s">
        <v>37</v>
      </c>
      <c r="B33" s="19">
        <v>0.0293</v>
      </c>
    </row>
    <row r="34" ht="15.75" customHeight="1">
      <c r="A34" s="29"/>
      <c r="B34" s="18"/>
    </row>
    <row r="35" ht="15.75" customHeight="1">
      <c r="A35" s="29" t="s">
        <v>38</v>
      </c>
      <c r="B35" s="19">
        <v>0.125</v>
      </c>
    </row>
    <row r="36" ht="15.75" customHeight="1">
      <c r="A36" s="29"/>
      <c r="B36" s="18"/>
    </row>
    <row r="37" ht="15.75" customHeight="1">
      <c r="A37" s="34" t="s">
        <v>39</v>
      </c>
      <c r="B37" s="22">
        <f>B25*(B29/(B29+B31))+B33*(B31/(B29+B31))*(1-B35)</f>
        <v>0.05448673666</v>
      </c>
    </row>
    <row r="38" ht="15.75" customHeight="1">
      <c r="B38" s="10"/>
    </row>
    <row r="39" ht="15.75" customHeight="1">
      <c r="A39" s="2" t="s">
        <v>40</v>
      </c>
      <c r="B39" s="10"/>
    </row>
    <row r="40" ht="15.75" customHeight="1"/>
    <row r="41" ht="15.75" customHeight="1">
      <c r="A41" s="3"/>
      <c r="B41" s="3"/>
      <c r="C41" s="23">
        <f>Optimistisch!C31</f>
        <v>45448</v>
      </c>
      <c r="D41" s="24" t="s">
        <v>19</v>
      </c>
    </row>
    <row r="42" ht="15.75" customHeight="1">
      <c r="A42" s="5" t="s">
        <v>20</v>
      </c>
      <c r="B42" s="5" t="s">
        <v>21</v>
      </c>
      <c r="C42" s="8">
        <f>C43*C44</f>
        <v>64.33123867</v>
      </c>
      <c r="D42" s="8">
        <f>SUM(H13:M13)-B31</f>
        <v>69.58232099</v>
      </c>
    </row>
    <row r="43" ht="15.75" customHeight="1">
      <c r="A43" s="5"/>
      <c r="B43" s="5" t="s">
        <v>22</v>
      </c>
      <c r="C43" s="8">
        <f>Optimistisch!C33</f>
        <v>0.217430759</v>
      </c>
      <c r="D43" s="8">
        <f>C43</f>
        <v>0.217430759</v>
      </c>
    </row>
    <row r="44" ht="15.75" customHeight="1">
      <c r="A44" s="5"/>
      <c r="B44" s="5" t="s">
        <v>23</v>
      </c>
      <c r="C44" s="8">
        <f>Optimistisch!C34</f>
        <v>295.87</v>
      </c>
      <c r="D44" s="8">
        <f>D42/D43</f>
        <v>320.0205956</v>
      </c>
    </row>
    <row r="45" ht="15.75" customHeight="1">
      <c r="A45" s="5"/>
      <c r="B45" s="5" t="s">
        <v>24</v>
      </c>
      <c r="C45" s="5"/>
      <c r="D45" s="11">
        <f>IF(C44/D44-1&gt;0,0,C44/D44-1)*-1</f>
        <v>0.0754657541</v>
      </c>
    </row>
    <row r="46" ht="15.75" customHeight="1">
      <c r="A46" s="5"/>
      <c r="B46" s="5" t="s">
        <v>25</v>
      </c>
      <c r="C46" s="5"/>
      <c r="D46" s="11">
        <f>IF(C44/D44-1&lt;0,0,C44/D44-1)</f>
        <v>0</v>
      </c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2023-11-01T21:06:40Z</dcterms:created>
  <dc:creator>Tilman Reichel</dc:creator>
</cp:coreProperties>
</file>