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ptimistisch" sheetId="1" r:id="rId4"/>
    <sheet state="visible" name="Pessimistisch" sheetId="2" r:id="rId5"/>
    <sheet state="visible" name="DCF" sheetId="3" r:id="rId6"/>
  </sheets>
  <definedNames/>
  <calcPr/>
  <extLst>
    <ext uri="GoogleSheetsCustomDataVersion2">
      <go:sheetsCustomData xmlns:go="http://customooxmlschemas.google.com/" r:id="rId7" roundtripDataChecksum="k7sFWm4n5uWPvPiX7o6mfd1jDY9745EY7z3bZnU/UQo="/>
    </ext>
  </extLst>
</workbook>
</file>

<file path=xl/sharedStrings.xml><?xml version="1.0" encoding="utf-8"?>
<sst xmlns="http://schemas.openxmlformats.org/spreadsheetml/2006/main" count="88" uniqueCount="41">
  <si>
    <t>Discounted Net-Profit Modell</t>
  </si>
  <si>
    <t>Annahmen für Terna</t>
  </si>
  <si>
    <t>Alle Angaben in Mrd.</t>
  </si>
  <si>
    <t>Schätzungen »</t>
  </si>
  <si>
    <t>Umsatz</t>
  </si>
  <si>
    <t>Umsatzwachstum</t>
  </si>
  <si>
    <t>-</t>
  </si>
  <si>
    <t>EBIT Marge</t>
  </si>
  <si>
    <t>EBIT</t>
  </si>
  <si>
    <t>Gewinn (abzgl. Steuern, Zinsen)</t>
  </si>
  <si>
    <t>Anzahl an Aktien (abzgl. Aktienrückkäufe)</t>
  </si>
  <si>
    <t>Gewinn je Aktie</t>
  </si>
  <si>
    <t>Abgezinster Gewinn</t>
  </si>
  <si>
    <t>Berechnung der Eigenkapitalkosten:</t>
  </si>
  <si>
    <t>Risikoloser Basiszins:</t>
  </si>
  <si>
    <t>Risikoprämie:</t>
  </si>
  <si>
    <t>Marktrendite:</t>
  </si>
  <si>
    <t>Beta-Faktor:</t>
  </si>
  <si>
    <t>Eigenkapitalkosten:</t>
  </si>
  <si>
    <t>Fairer Wert</t>
  </si>
  <si>
    <t>Bewertung</t>
  </si>
  <si>
    <t>Marktkapitalisierung</t>
  </si>
  <si>
    <t>Anzahl an Aktien</t>
  </si>
  <si>
    <t>Kurs je Aktie</t>
  </si>
  <si>
    <t>Unterbewertung</t>
  </si>
  <si>
    <t>Überbewertung</t>
  </si>
  <si>
    <t>Berechnung der Renditeerwartung:</t>
  </si>
  <si>
    <t>Durchschnittliche Ausschüttungsquote:</t>
  </si>
  <si>
    <t>Ausgeschüttete Gewinne:</t>
  </si>
  <si>
    <t>Quellensteuer</t>
  </si>
  <si>
    <t>Discounted Cashflow Modell</t>
  </si>
  <si>
    <t>Free Cashflow Marge</t>
  </si>
  <si>
    <t>Free Cashflow</t>
  </si>
  <si>
    <t>Abgezinster Free Cashflow</t>
  </si>
  <si>
    <t>Berechnung der WACC:</t>
  </si>
  <si>
    <t>Marktkapitalisierung:</t>
  </si>
  <si>
    <t>Verzinstes Fremdkapital:</t>
  </si>
  <si>
    <t>Zinsrate (durchschnittlich):</t>
  </si>
  <si>
    <t>Steuerrate (durchschnittlich):</t>
  </si>
  <si>
    <t>WACC:</t>
  </si>
  <si>
    <t>Wachstumsabschlag: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</si>
</sst>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2.0"/>
      <color theme="1"/>
      <name val="Calibri"/>
      <scheme val="minor"/>
    </font>
    <font>
      <b/>
      <sz val="20.0"/>
      <color theme="1"/>
      <name val="Calibri"/>
    </font>
    <font>
      <color theme="1"/>
      <name val="Calibri"/>
      <scheme val="minor"/>
    </font>
    <font>
      <sz val="12.0"/>
      <color theme="1"/>
      <name val="Calibri"/>
    </font>
    <font>
      <sz val="12.0"/>
      <color theme="0"/>
      <name val="Calibri"/>
    </font>
    <font>
      <u/>
      <sz val="12.0"/>
      <color theme="1"/>
      <name val="Calibri"/>
    </font>
    <font>
      <u/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7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Border="1" applyFill="1" applyFont="1"/>
    <xf borderId="1" fillId="2" fontId="4" numFmtId="0" xfId="0" applyBorder="1" applyFont="1"/>
    <xf borderId="1" fillId="3" fontId="3" numFmtId="0" xfId="0" applyBorder="1" applyFill="1" applyFont="1"/>
    <xf borderId="1" fillId="3" fontId="3" numFmtId="0" xfId="0" applyAlignment="1" applyBorder="1" applyFont="1">
      <alignment horizontal="right"/>
    </xf>
    <xf borderId="0" fillId="0" fontId="3" numFmtId="2" xfId="0" applyFont="1" applyNumberFormat="1"/>
    <xf borderId="1" fillId="3" fontId="3" numFmtId="2" xfId="0" applyBorder="1" applyFont="1" applyNumberFormat="1"/>
    <xf borderId="0" fillId="0" fontId="3" numFmtId="0" xfId="0" applyAlignment="1" applyFont="1">
      <alignment horizontal="right"/>
    </xf>
    <xf borderId="0" fillId="0" fontId="3" numFmtId="10" xfId="0" applyFont="1" applyNumberFormat="1"/>
    <xf borderId="1" fillId="3" fontId="3" numFmtId="10" xfId="0" applyBorder="1" applyFont="1" applyNumberFormat="1"/>
    <xf borderId="2" fillId="0" fontId="3" numFmtId="0" xfId="0" applyBorder="1" applyFont="1"/>
    <xf borderId="3" fillId="0" fontId="3" numFmtId="0" xfId="0" applyBorder="1" applyFont="1"/>
    <xf borderId="4" fillId="4" fontId="3" numFmtId="2" xfId="0" applyBorder="1" applyFill="1" applyFont="1" applyNumberFormat="1"/>
    <xf borderId="5" fillId="4" fontId="3" numFmtId="2" xfId="0" applyBorder="1" applyFont="1" applyNumberFormat="1"/>
    <xf borderId="6" fillId="0" fontId="5" numFmtId="0" xfId="0" applyBorder="1" applyFont="1"/>
    <xf borderId="7" fillId="0" fontId="3" numFmtId="0" xfId="0" applyBorder="1" applyFont="1"/>
    <xf borderId="8" fillId="0" fontId="3" numFmtId="0" xfId="0" applyBorder="1" applyFont="1"/>
    <xf borderId="8" fillId="0" fontId="3" numFmtId="10" xfId="0" applyAlignment="1" applyBorder="1" applyFont="1" applyNumberFormat="1">
      <alignment readingOrder="0"/>
    </xf>
    <xf borderId="8" fillId="0" fontId="3" numFmtId="10" xfId="0" applyBorder="1" applyFont="1" applyNumberFormat="1"/>
    <xf borderId="8" fillId="0" fontId="3" numFmtId="2" xfId="0" applyBorder="1" applyFont="1" applyNumberFormat="1"/>
    <xf borderId="9" fillId="0" fontId="3" numFmtId="0" xfId="0" applyBorder="1" applyFont="1"/>
    <xf borderId="10" fillId="0" fontId="3" numFmtId="10" xfId="0" applyBorder="1" applyFont="1" applyNumberFormat="1"/>
    <xf borderId="1" fillId="2" fontId="4" numFmtId="14" xfId="0" applyAlignment="1" applyBorder="1" applyFont="1" applyNumberFormat="1">
      <alignment horizontal="right"/>
    </xf>
    <xf borderId="1" fillId="2" fontId="4" numFmtId="0" xfId="0" applyAlignment="1" applyBorder="1" applyFont="1">
      <alignment horizontal="right"/>
    </xf>
    <xf borderId="1" fillId="3" fontId="3" numFmtId="2" xfId="0" applyAlignment="1" applyBorder="1" applyFont="1" applyNumberFormat="1">
      <alignment readingOrder="0"/>
    </xf>
    <xf borderId="1" fillId="4" fontId="3" numFmtId="0" xfId="0" applyBorder="1" applyFont="1"/>
    <xf borderId="11" fillId="0" fontId="6" numFmtId="0" xfId="0" applyBorder="1" applyFont="1"/>
    <xf borderId="6" fillId="0" fontId="3" numFmtId="0" xfId="0" applyBorder="1" applyFont="1"/>
    <xf borderId="12" fillId="0" fontId="3" numFmtId="0" xfId="0" applyBorder="1" applyFont="1"/>
    <xf borderId="13" fillId="3" fontId="3" numFmtId="0" xfId="0" applyBorder="1" applyFont="1"/>
    <xf borderId="14" fillId="3" fontId="3" numFmtId="0" xfId="0" applyBorder="1" applyFont="1"/>
    <xf borderId="15" fillId="3" fontId="3" numFmtId="10" xfId="0" applyBorder="1" applyFont="1" applyNumberFormat="1"/>
    <xf borderId="16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8" width="10.33"/>
    <col customWidth="1" min="19" max="26" width="8.33"/>
  </cols>
  <sheetData>
    <row r="1" ht="15.75" customHeight="1"/>
    <row r="2" ht="15.75" customHeight="1">
      <c r="B2" s="1" t="s">
        <v>0</v>
      </c>
    </row>
    <row r="3" ht="15.75" customHeight="1"/>
    <row r="4" ht="15.75" customHeight="1">
      <c r="B4" s="2" t="s">
        <v>1</v>
      </c>
    </row>
    <row r="5" ht="15.75" customHeight="1"/>
    <row r="6" ht="15.75" customHeight="1">
      <c r="B6" s="2" t="s">
        <v>2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ht="15.75" customHeight="1">
      <c r="C9" s="2">
        <v>2019.0</v>
      </c>
      <c r="D9" s="2">
        <f t="shared" ref="D9:Q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N9" s="5">
        <f t="shared" si="1"/>
        <v>2030</v>
      </c>
      <c r="O9" s="5">
        <f t="shared" si="1"/>
        <v>2031</v>
      </c>
      <c r="P9" s="5">
        <f t="shared" si="1"/>
        <v>2032</v>
      </c>
      <c r="Q9" s="5">
        <f t="shared" si="1"/>
        <v>2033</v>
      </c>
      <c r="R9" s="6" t="str">
        <f>Q9+1&amp;"ff."</f>
        <v>2034ff.</v>
      </c>
    </row>
    <row r="10" ht="15.75" customHeight="1">
      <c r="B10" s="2" t="s">
        <v>4</v>
      </c>
      <c r="C10" s="7">
        <v>2.2879</v>
      </c>
      <c r="D10" s="7">
        <v>2.4619</v>
      </c>
      <c r="E10" s="7">
        <v>2.5345</v>
      </c>
      <c r="F10" s="7">
        <v>2.8981</v>
      </c>
      <c r="G10" s="7">
        <v>3.1228</v>
      </c>
      <c r="H10" s="8">
        <v>3.46662</v>
      </c>
      <c r="I10" s="8">
        <v>3.60356</v>
      </c>
      <c r="J10" s="8">
        <v>3.90974</v>
      </c>
      <c r="K10" s="8">
        <f t="shared" ref="K10:R10" si="2">J10*(1+K11)</f>
        <v>4.300714</v>
      </c>
      <c r="L10" s="8">
        <f t="shared" si="2"/>
        <v>4.70928183</v>
      </c>
      <c r="M10" s="8">
        <f t="shared" si="2"/>
        <v>5.086024376</v>
      </c>
      <c r="N10" s="8">
        <f t="shared" si="2"/>
        <v>5.454761144</v>
      </c>
      <c r="O10" s="8">
        <f t="shared" si="2"/>
        <v>5.836594424</v>
      </c>
      <c r="P10" s="8">
        <f t="shared" si="2"/>
        <v>6.215973061</v>
      </c>
      <c r="Q10" s="8">
        <f t="shared" si="2"/>
        <v>6.526771714</v>
      </c>
      <c r="R10" s="8">
        <f t="shared" si="2"/>
        <v>6.62467329</v>
      </c>
    </row>
    <row r="11" ht="15.75" customHeight="1">
      <c r="B11" s="2" t="s">
        <v>5</v>
      </c>
      <c r="C11" s="9" t="s">
        <v>6</v>
      </c>
      <c r="D11" s="10">
        <f t="shared" ref="D11:J11" si="3">D10/C10-1</f>
        <v>0.07605227501</v>
      </c>
      <c r="E11" s="10">
        <f t="shared" si="3"/>
        <v>0.02948941874</v>
      </c>
      <c r="F11" s="10">
        <f t="shared" si="3"/>
        <v>0.1434602486</v>
      </c>
      <c r="G11" s="10">
        <f t="shared" si="3"/>
        <v>0.07753355647</v>
      </c>
      <c r="H11" s="11">
        <f t="shared" si="3"/>
        <v>0.1100999103</v>
      </c>
      <c r="I11" s="11">
        <f t="shared" si="3"/>
        <v>0.03950245484</v>
      </c>
      <c r="J11" s="11">
        <f t="shared" si="3"/>
        <v>0.08496597809</v>
      </c>
      <c r="K11" s="11">
        <v>0.1</v>
      </c>
      <c r="L11" s="11">
        <v>0.095</v>
      </c>
      <c r="M11" s="11">
        <v>0.08</v>
      </c>
      <c r="N11" s="11">
        <v>0.0725</v>
      </c>
      <c r="O11" s="11">
        <v>0.07</v>
      </c>
      <c r="P11" s="11">
        <v>0.065</v>
      </c>
      <c r="Q11" s="11">
        <v>0.05</v>
      </c>
      <c r="R11" s="11">
        <v>0.015</v>
      </c>
    </row>
    <row r="12" ht="15.75" customHeight="1">
      <c r="B12" s="2" t="s">
        <v>7</v>
      </c>
      <c r="C12" s="10">
        <f t="shared" ref="C12:J12" si="4">C13/C10</f>
        <v>0.5048734647</v>
      </c>
      <c r="D12" s="10">
        <f t="shared" si="4"/>
        <v>0.4819854584</v>
      </c>
      <c r="E12" s="10">
        <f t="shared" si="4"/>
        <v>0.473623989</v>
      </c>
      <c r="F12" s="10">
        <f t="shared" si="4"/>
        <v>0.4601290501</v>
      </c>
      <c r="G12" s="10">
        <f t="shared" si="4"/>
        <v>0.4362431152</v>
      </c>
      <c r="H12" s="11">
        <f t="shared" si="4"/>
        <v>0.4589991888</v>
      </c>
      <c r="I12" s="11">
        <f t="shared" si="4"/>
        <v>0.4446108194</v>
      </c>
      <c r="J12" s="11">
        <f t="shared" si="4"/>
        <v>0.4580807822</v>
      </c>
      <c r="K12" s="11">
        <v>0.455</v>
      </c>
      <c r="L12" s="11">
        <v>0.4525</v>
      </c>
      <c r="M12" s="11">
        <v>0.4575</v>
      </c>
      <c r="N12" s="11">
        <v>0.46</v>
      </c>
      <c r="O12" s="11">
        <v>0.46</v>
      </c>
      <c r="P12" s="11">
        <v>0.4625</v>
      </c>
      <c r="Q12" s="11">
        <v>0.465</v>
      </c>
      <c r="R12" s="11">
        <v>0.4675</v>
      </c>
    </row>
    <row r="13" ht="15.75" customHeight="1">
      <c r="B13" s="2" t="s">
        <v>8</v>
      </c>
      <c r="C13" s="7">
        <v>1.1551</v>
      </c>
      <c r="D13" s="7">
        <v>1.1866</v>
      </c>
      <c r="E13" s="7">
        <v>1.2004</v>
      </c>
      <c r="F13" s="7">
        <v>1.3335</v>
      </c>
      <c r="G13" s="7">
        <v>1.3623</v>
      </c>
      <c r="H13" s="8">
        <v>1.5911757677468938</v>
      </c>
      <c r="I13" s="8">
        <v>1.6021817641774476</v>
      </c>
      <c r="J13" s="8">
        <v>1.7909767574142863</v>
      </c>
      <c r="K13" s="8">
        <f t="shared" ref="K13:R13" si="5">K10*K12</f>
        <v>1.95682487</v>
      </c>
      <c r="L13" s="8">
        <f t="shared" si="5"/>
        <v>2.130950028</v>
      </c>
      <c r="M13" s="8">
        <f t="shared" si="5"/>
        <v>2.326856152</v>
      </c>
      <c r="N13" s="8">
        <f t="shared" si="5"/>
        <v>2.509190126</v>
      </c>
      <c r="O13" s="8">
        <f t="shared" si="5"/>
        <v>2.684833435</v>
      </c>
      <c r="P13" s="8">
        <f t="shared" si="5"/>
        <v>2.874887541</v>
      </c>
      <c r="Q13" s="8">
        <f t="shared" si="5"/>
        <v>3.034948847</v>
      </c>
      <c r="R13" s="8">
        <f t="shared" si="5"/>
        <v>3.097034763</v>
      </c>
    </row>
    <row r="14" ht="15.75" customHeight="1">
      <c r="A14" s="11">
        <v>0.375</v>
      </c>
      <c r="B14" s="2" t="s">
        <v>9</v>
      </c>
      <c r="C14" s="7">
        <v>0.7573</v>
      </c>
      <c r="D14" s="7">
        <v>0.7855</v>
      </c>
      <c r="E14" s="7">
        <v>0.7894</v>
      </c>
      <c r="F14" s="7">
        <v>0.857</v>
      </c>
      <c r="G14" s="7">
        <v>0.8854</v>
      </c>
      <c r="H14" s="8">
        <v>0.9959599259999999</v>
      </c>
      <c r="I14" s="8">
        <v>0.9571055359999999</v>
      </c>
      <c r="J14" s="8">
        <v>1.0302164900000002</v>
      </c>
      <c r="K14" s="8">
        <f t="shared" ref="K14:R14" si="6">K13*(1-$A$14)</f>
        <v>1.223015544</v>
      </c>
      <c r="L14" s="8">
        <f t="shared" si="6"/>
        <v>1.331843768</v>
      </c>
      <c r="M14" s="8">
        <f t="shared" si="6"/>
        <v>1.454285095</v>
      </c>
      <c r="N14" s="8">
        <f t="shared" si="6"/>
        <v>1.568243829</v>
      </c>
      <c r="O14" s="8">
        <f t="shared" si="6"/>
        <v>1.678020897</v>
      </c>
      <c r="P14" s="8">
        <f t="shared" si="6"/>
        <v>1.796804713</v>
      </c>
      <c r="Q14" s="8">
        <f t="shared" si="6"/>
        <v>1.896843029</v>
      </c>
      <c r="R14" s="8">
        <f t="shared" si="6"/>
        <v>1.935646727</v>
      </c>
    </row>
    <row r="15" ht="15.75" customHeight="1">
      <c r="A15" s="11">
        <v>1.0</v>
      </c>
      <c r="B15" s="2" t="s">
        <v>10</v>
      </c>
      <c r="H15" s="8">
        <f>C33</f>
        <v>2.01</v>
      </c>
      <c r="I15" s="8">
        <f t="shared" ref="I15:Q15" si="7">H15*$A$15</f>
        <v>2.01</v>
      </c>
      <c r="J15" s="8">
        <f t="shared" si="7"/>
        <v>2.01</v>
      </c>
      <c r="K15" s="8">
        <f t="shared" si="7"/>
        <v>2.01</v>
      </c>
      <c r="L15" s="8">
        <f t="shared" si="7"/>
        <v>2.01</v>
      </c>
      <c r="M15" s="8">
        <f t="shared" si="7"/>
        <v>2.01</v>
      </c>
      <c r="N15" s="8">
        <f t="shared" si="7"/>
        <v>2.01</v>
      </c>
      <c r="O15" s="8">
        <f t="shared" si="7"/>
        <v>2.01</v>
      </c>
      <c r="P15" s="8">
        <f t="shared" si="7"/>
        <v>2.01</v>
      </c>
      <c r="Q15" s="8">
        <f t="shared" si="7"/>
        <v>2.01</v>
      </c>
      <c r="R15" s="6" t="s">
        <v>6</v>
      </c>
    </row>
    <row r="16" ht="15.75" customHeight="1">
      <c r="B16" s="2" t="s">
        <v>11</v>
      </c>
      <c r="H16" s="8">
        <f t="shared" ref="H16:Q16" si="8">H14/H15</f>
        <v>0.4955024507</v>
      </c>
      <c r="I16" s="8">
        <f t="shared" si="8"/>
        <v>0.4761719085</v>
      </c>
      <c r="J16" s="8">
        <f t="shared" si="8"/>
        <v>0.5125455174</v>
      </c>
      <c r="K16" s="8">
        <f t="shared" si="8"/>
        <v>0.6084654447</v>
      </c>
      <c r="L16" s="8">
        <f t="shared" si="8"/>
        <v>0.6626088396</v>
      </c>
      <c r="M16" s="8">
        <f t="shared" si="8"/>
        <v>0.7235249229</v>
      </c>
      <c r="N16" s="8">
        <f t="shared" si="8"/>
        <v>0.7802208104</v>
      </c>
      <c r="O16" s="8">
        <f t="shared" si="8"/>
        <v>0.8348362671</v>
      </c>
      <c r="P16" s="8">
        <f t="shared" si="8"/>
        <v>0.893932693</v>
      </c>
      <c r="Q16" s="8">
        <f t="shared" si="8"/>
        <v>0.9437029997</v>
      </c>
      <c r="R16" s="6" t="s">
        <v>6</v>
      </c>
    </row>
    <row r="17" ht="15.75" customHeight="1">
      <c r="F17" s="12" t="s">
        <v>12</v>
      </c>
      <c r="G17" s="13"/>
      <c r="H17" s="14">
        <f>H14/(1+$B$29)</f>
        <v>0.942372837</v>
      </c>
      <c r="I17" s="14">
        <f>I14/(1+$B$29)^2</f>
        <v>0.8568831814</v>
      </c>
      <c r="J17" s="14">
        <f>J14/(1+$B$29)^3</f>
        <v>0.8727124725</v>
      </c>
      <c r="K17" s="14">
        <f>K14/(1+$B$29)^4</f>
        <v>0.9802922239</v>
      </c>
      <c r="L17" s="14">
        <f>L14/(1+$B$29)^5</f>
        <v>1.010084621</v>
      </c>
      <c r="M17" s="14">
        <f>M14/(1+$B$29)^6</f>
        <v>1.043602052</v>
      </c>
      <c r="N17" s="14">
        <f>N14/(1+$B$29)^7</f>
        <v>1.06482896</v>
      </c>
      <c r="O17" s="14">
        <f>O14/(1+$B$29)^8</f>
        <v>1.078063958</v>
      </c>
      <c r="P17" s="14">
        <f>P14/(1+$B$29)^9</f>
        <v>1.092267308</v>
      </c>
      <c r="Q17" s="14">
        <f>Q14/(1+$B$29)^10</f>
        <v>1.091039177</v>
      </c>
      <c r="R17" s="15">
        <f>(R14/(B29-R11))/(1+B29)^10</f>
        <v>26.594653</v>
      </c>
    </row>
    <row r="18" ht="15.75" customHeight="1"/>
    <row r="19" ht="15.75" customHeight="1">
      <c r="A19" s="16" t="s">
        <v>13</v>
      </c>
      <c r="B19" s="17"/>
    </row>
    <row r="20" ht="15.75" customHeight="1">
      <c r="B20" s="18"/>
    </row>
    <row r="21" ht="15.75" customHeight="1">
      <c r="A21" s="2" t="s">
        <v>14</v>
      </c>
      <c r="B21" s="19">
        <v>0.03716</v>
      </c>
    </row>
    <row r="22" ht="15.75" customHeight="1">
      <c r="B22" s="18"/>
    </row>
    <row r="23" ht="15.75" customHeight="1">
      <c r="A23" s="2" t="s">
        <v>15</v>
      </c>
      <c r="B23" s="20">
        <f>(B25-B21)*B27</f>
        <v>0.019704</v>
      </c>
    </row>
    <row r="24" ht="15.75" customHeight="1">
      <c r="B24" s="18"/>
    </row>
    <row r="25" ht="15.75" customHeight="1">
      <c r="A25" s="2" t="s">
        <v>16</v>
      </c>
      <c r="B25" s="20">
        <v>0.07</v>
      </c>
    </row>
    <row r="26" ht="15.75" customHeight="1">
      <c r="B26" s="18"/>
    </row>
    <row r="27" ht="15.75" customHeight="1">
      <c r="A27" s="2" t="s">
        <v>17</v>
      </c>
      <c r="B27" s="21">
        <v>0.6</v>
      </c>
    </row>
    <row r="28" ht="15.75" customHeight="1">
      <c r="B28" s="18"/>
    </row>
    <row r="29" ht="15.75" customHeight="1">
      <c r="A29" s="22" t="s">
        <v>18</v>
      </c>
      <c r="B29" s="23">
        <f>B21+(B25-B21)*B27</f>
        <v>0.056864</v>
      </c>
    </row>
    <row r="30" ht="15.75" customHeight="1"/>
    <row r="31" ht="15.75" customHeight="1">
      <c r="A31" s="3"/>
      <c r="B31" s="3"/>
      <c r="C31" s="24">
        <v>45534.0</v>
      </c>
      <c r="D31" s="25" t="s">
        <v>19</v>
      </c>
    </row>
    <row r="32" ht="15.75" customHeight="1">
      <c r="A32" s="5" t="s">
        <v>20</v>
      </c>
      <c r="B32" s="5" t="s">
        <v>21</v>
      </c>
      <c r="C32" s="8">
        <f>C33*C34</f>
        <v>15.7986</v>
      </c>
      <c r="D32" s="8">
        <f>SUM(H17:R17)</f>
        <v>36.62679979</v>
      </c>
    </row>
    <row r="33" ht="15.75" customHeight="1">
      <c r="A33" s="5"/>
      <c r="B33" s="5" t="s">
        <v>22</v>
      </c>
      <c r="C33" s="8">
        <v>2.01</v>
      </c>
      <c r="D33" s="8">
        <f>C33</f>
        <v>2.01</v>
      </c>
    </row>
    <row r="34" ht="15.75" customHeight="1">
      <c r="A34" s="5"/>
      <c r="B34" s="5" t="s">
        <v>23</v>
      </c>
      <c r="C34" s="26">
        <v>7.86</v>
      </c>
      <c r="D34" s="8">
        <f>D32/D33</f>
        <v>18.22228845</v>
      </c>
    </row>
    <row r="35" ht="15.75" customHeight="1">
      <c r="A35" s="5"/>
      <c r="B35" s="5" t="s">
        <v>24</v>
      </c>
      <c r="C35" s="5"/>
      <c r="D35" s="11">
        <f>IF(C34/D34-1&gt;0,0,C34/D34-1)*-1</f>
        <v>0.5686601044</v>
      </c>
    </row>
    <row r="36" ht="15.75" customHeight="1">
      <c r="A36" s="5"/>
      <c r="B36" s="5" t="s">
        <v>25</v>
      </c>
      <c r="C36" s="5"/>
      <c r="D36" s="11">
        <f>IF(C34/D34-1&lt;0,0,C34/D34-1)</f>
        <v>0</v>
      </c>
    </row>
    <row r="37" ht="15.75" customHeight="1">
      <c r="A37" s="27"/>
      <c r="B37" s="27"/>
      <c r="C37" s="27"/>
      <c r="D37" s="27"/>
    </row>
    <row r="38" ht="15.75" customHeight="1">
      <c r="A38" s="28" t="s">
        <v>26</v>
      </c>
      <c r="B38" s="29"/>
      <c r="C38" s="29"/>
      <c r="D38" s="17"/>
    </row>
    <row r="39" ht="15.75" customHeight="1">
      <c r="A39" s="30"/>
      <c r="D39" s="18"/>
    </row>
    <row r="40" ht="15.75" customHeight="1">
      <c r="A40" s="30" t="str">
        <f>"KGV in "&amp;Q9&amp;":"</f>
        <v>KGV in 2033:</v>
      </c>
      <c r="D40" s="21">
        <v>16.0</v>
      </c>
    </row>
    <row r="41" ht="15.75" customHeight="1">
      <c r="A41" s="30"/>
      <c r="D41" s="18"/>
    </row>
    <row r="42" ht="15.75" customHeight="1">
      <c r="A42" s="30" t="str">
        <f>"Aktienkurs in "&amp;Q9&amp;":"</f>
        <v>Aktienkurs in 2033:</v>
      </c>
      <c r="D42" s="21">
        <f>Q16*D40</f>
        <v>15.099248</v>
      </c>
    </row>
    <row r="43" ht="15.75" customHeight="1">
      <c r="A43" s="30"/>
      <c r="D43" s="18"/>
    </row>
    <row r="44" ht="15.75" customHeight="1">
      <c r="A44" s="30" t="s">
        <v>27</v>
      </c>
      <c r="D44" s="20">
        <v>0.8</v>
      </c>
    </row>
    <row r="45" ht="15.75" customHeight="1">
      <c r="A45" s="30"/>
      <c r="D45" s="18"/>
    </row>
    <row r="46" ht="15.75" customHeight="1">
      <c r="A46" s="30" t="s">
        <v>28</v>
      </c>
      <c r="D46" s="21">
        <f>D44*SUM(H16:Q16)</f>
        <v>5.545209483</v>
      </c>
    </row>
    <row r="47" ht="15.75" customHeight="1">
      <c r="A47" s="30"/>
      <c r="D47" s="18"/>
    </row>
    <row r="48" ht="15.75" customHeight="1">
      <c r="A48" s="30" t="s">
        <v>29</v>
      </c>
      <c r="D48" s="20">
        <v>0.15</v>
      </c>
    </row>
    <row r="49" ht="15.75" customHeight="1">
      <c r="A49" s="30"/>
      <c r="D49" s="18"/>
    </row>
    <row r="50" ht="15.75" customHeight="1">
      <c r="A50" s="30" t="str">
        <f>"Gesamtwert "&amp;Q9</f>
        <v>Gesamtwert 2033</v>
      </c>
      <c r="D50" s="21">
        <f>D42+D46*(1-D48)</f>
        <v>19.81267606</v>
      </c>
    </row>
    <row r="51" ht="15.75" customHeight="1">
      <c r="A51" s="30"/>
      <c r="D51" s="18"/>
    </row>
    <row r="52" ht="15.75" customHeight="1">
      <c r="A52" s="30" t="str">
        <f>"Steigerung bis "&amp;Q9</f>
        <v>Steigerung bis 2033</v>
      </c>
      <c r="D52" s="20">
        <f>D50/C34-1</f>
        <v>1.520696699</v>
      </c>
    </row>
    <row r="53" ht="15.75" customHeight="1">
      <c r="A53" s="30"/>
      <c r="D53" s="18"/>
    </row>
    <row r="54" ht="15.75" customHeight="1">
      <c r="A54" s="31" t="str">
        <f>"Renditeerwartung bis "&amp;Q9&amp;" pro Jahr"</f>
        <v>Renditeerwartung bis 2033 pro Jahr</v>
      </c>
      <c r="B54" s="32"/>
      <c r="C54" s="32"/>
      <c r="D54" s="33">
        <f>(D50/C34)^(1/10)-1</f>
        <v>0.09686217262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8" width="10.33"/>
    <col customWidth="1" min="19" max="26" width="8.33"/>
  </cols>
  <sheetData>
    <row r="1" ht="15.75" customHeight="1"/>
    <row r="2" ht="15.75" customHeight="1">
      <c r="B2" s="1" t="s">
        <v>0</v>
      </c>
    </row>
    <row r="3" ht="15.75" customHeight="1"/>
    <row r="4" ht="15.75" customHeight="1">
      <c r="B4" s="2" t="str">
        <f>Optimistisch!B4</f>
        <v>Annahmen für Terna</v>
      </c>
    </row>
    <row r="5" ht="15.75" customHeight="1"/>
    <row r="6" ht="15.75" customHeight="1">
      <c r="B6" s="2" t="str">
        <f>Optimistisch!B6</f>
        <v>Alle Angaben in Mrd.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ht="15.75" customHeight="1">
      <c r="C9" s="2">
        <f>Optimistisch!C9</f>
        <v>2019</v>
      </c>
      <c r="D9" s="2">
        <f t="shared" ref="D9:Q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N9" s="5">
        <f t="shared" si="1"/>
        <v>2030</v>
      </c>
      <c r="O9" s="5">
        <f t="shared" si="1"/>
        <v>2031</v>
      </c>
      <c r="P9" s="5">
        <f t="shared" si="1"/>
        <v>2032</v>
      </c>
      <c r="Q9" s="5">
        <f t="shared" si="1"/>
        <v>2033</v>
      </c>
      <c r="R9" s="6" t="str">
        <f>Q9+1&amp;"ff."</f>
        <v>2034ff.</v>
      </c>
    </row>
    <row r="10" ht="15.75" customHeight="1">
      <c r="B10" s="2" t="s">
        <v>4</v>
      </c>
      <c r="C10" s="7">
        <f>Optimistisch!C10</f>
        <v>2.2879</v>
      </c>
      <c r="D10" s="7">
        <f>Optimistisch!D10</f>
        <v>2.4619</v>
      </c>
      <c r="E10" s="7">
        <f>Optimistisch!E10</f>
        <v>2.5345</v>
      </c>
      <c r="F10" s="7">
        <f>Optimistisch!F10</f>
        <v>2.8981</v>
      </c>
      <c r="G10" s="7">
        <f>Optimistisch!G10</f>
        <v>3.1228</v>
      </c>
      <c r="H10" s="8">
        <f>Optimistisch!H10</f>
        <v>3.46662</v>
      </c>
      <c r="I10" s="8">
        <f>Optimistisch!I10</f>
        <v>3.60356</v>
      </c>
      <c r="J10" s="8">
        <f>Optimistisch!J10</f>
        <v>3.90974</v>
      </c>
      <c r="K10" s="8">
        <f t="shared" ref="K10:R10" si="2">J10*(1+K11)</f>
        <v>4.2029705</v>
      </c>
      <c r="L10" s="8">
        <f t="shared" si="2"/>
        <v>4.497178435</v>
      </c>
      <c r="M10" s="8">
        <f t="shared" si="2"/>
        <v>4.65457968</v>
      </c>
      <c r="N10" s="8">
        <f t="shared" si="2"/>
        <v>4.933854461</v>
      </c>
      <c r="O10" s="8">
        <f t="shared" si="2"/>
        <v>5.205216456</v>
      </c>
      <c r="P10" s="8">
        <f t="shared" si="2"/>
        <v>5.413425115</v>
      </c>
      <c r="Q10" s="8">
        <f t="shared" si="2"/>
        <v>5.575827868</v>
      </c>
      <c r="R10" s="8">
        <f t="shared" si="2"/>
        <v>5.631586147</v>
      </c>
    </row>
    <row r="11" ht="15.75" customHeight="1">
      <c r="B11" s="2" t="s">
        <v>5</v>
      </c>
      <c r="C11" s="9" t="s">
        <v>6</v>
      </c>
      <c r="D11" s="10">
        <f t="shared" ref="D11:J11" si="3">D10/C10-1</f>
        <v>0.07605227501</v>
      </c>
      <c r="E11" s="10">
        <f t="shared" si="3"/>
        <v>0.02948941874</v>
      </c>
      <c r="F11" s="10">
        <f t="shared" si="3"/>
        <v>0.1434602486</v>
      </c>
      <c r="G11" s="10">
        <f t="shared" si="3"/>
        <v>0.07753355647</v>
      </c>
      <c r="H11" s="11">
        <f t="shared" si="3"/>
        <v>0.1100999103</v>
      </c>
      <c r="I11" s="11">
        <f t="shared" si="3"/>
        <v>0.03950245484</v>
      </c>
      <c r="J11" s="11">
        <f t="shared" si="3"/>
        <v>0.08496597809</v>
      </c>
      <c r="K11" s="11">
        <v>0.075</v>
      </c>
      <c r="L11" s="11">
        <v>0.07</v>
      </c>
      <c r="M11" s="11">
        <v>0.035</v>
      </c>
      <c r="N11" s="11">
        <v>0.06</v>
      </c>
      <c r="O11" s="11">
        <v>0.055</v>
      </c>
      <c r="P11" s="11">
        <v>0.04</v>
      </c>
      <c r="Q11" s="11">
        <v>0.03</v>
      </c>
      <c r="R11" s="11">
        <v>0.01</v>
      </c>
    </row>
    <row r="12" ht="15.75" customHeight="1">
      <c r="B12" s="2" t="s">
        <v>7</v>
      </c>
      <c r="C12" s="10">
        <f t="shared" ref="C12:J12" si="4">C13/C10</f>
        <v>0.5048734647</v>
      </c>
      <c r="D12" s="10">
        <f t="shared" si="4"/>
        <v>0.4819854584</v>
      </c>
      <c r="E12" s="10">
        <f t="shared" si="4"/>
        <v>0.473623989</v>
      </c>
      <c r="F12" s="10">
        <f t="shared" si="4"/>
        <v>0.4601290501</v>
      </c>
      <c r="G12" s="10">
        <f t="shared" si="4"/>
        <v>0.4362431152</v>
      </c>
      <c r="H12" s="11">
        <f t="shared" si="4"/>
        <v>0.4589991888</v>
      </c>
      <c r="I12" s="11">
        <f t="shared" si="4"/>
        <v>0.4446108194</v>
      </c>
      <c r="J12" s="11">
        <f t="shared" si="4"/>
        <v>0.4580807822</v>
      </c>
      <c r="K12" s="11">
        <v>0.4525</v>
      </c>
      <c r="L12" s="11">
        <v>0.45</v>
      </c>
      <c r="M12" s="11">
        <v>0.42</v>
      </c>
      <c r="N12" s="11">
        <v>0.4375</v>
      </c>
      <c r="O12" s="11">
        <v>0.43</v>
      </c>
      <c r="P12" s="11">
        <v>0.425</v>
      </c>
      <c r="Q12" s="11">
        <v>0.41</v>
      </c>
      <c r="R12" s="11">
        <v>0.4025</v>
      </c>
    </row>
    <row r="13" ht="15.75" customHeight="1">
      <c r="B13" s="2" t="s">
        <v>8</v>
      </c>
      <c r="C13" s="7">
        <f>Optimistisch!C13</f>
        <v>1.1551</v>
      </c>
      <c r="D13" s="7">
        <f>Optimistisch!D13</f>
        <v>1.1866</v>
      </c>
      <c r="E13" s="7">
        <f>Optimistisch!E13</f>
        <v>1.2004</v>
      </c>
      <c r="F13" s="7">
        <f>Optimistisch!F13</f>
        <v>1.3335</v>
      </c>
      <c r="G13" s="7">
        <f>Optimistisch!G13</f>
        <v>1.3623</v>
      </c>
      <c r="H13" s="8">
        <f>Optimistisch!H13</f>
        <v>1.591175768</v>
      </c>
      <c r="I13" s="8">
        <f>Optimistisch!I13</f>
        <v>1.602181764</v>
      </c>
      <c r="J13" s="8">
        <f>Optimistisch!J13</f>
        <v>1.790976757</v>
      </c>
      <c r="K13" s="8">
        <f t="shared" ref="K13:R13" si="5">K10*K12</f>
        <v>1.901844151</v>
      </c>
      <c r="L13" s="8">
        <f t="shared" si="5"/>
        <v>2.023730296</v>
      </c>
      <c r="M13" s="8">
        <f t="shared" si="5"/>
        <v>1.954923466</v>
      </c>
      <c r="N13" s="8">
        <f t="shared" si="5"/>
        <v>2.158561327</v>
      </c>
      <c r="O13" s="8">
        <f t="shared" si="5"/>
        <v>2.238243076</v>
      </c>
      <c r="P13" s="8">
        <f t="shared" si="5"/>
        <v>2.300705674</v>
      </c>
      <c r="Q13" s="8">
        <f t="shared" si="5"/>
        <v>2.286089426</v>
      </c>
      <c r="R13" s="8">
        <f t="shared" si="5"/>
        <v>2.266713424</v>
      </c>
    </row>
    <row r="14" ht="15.75" customHeight="1">
      <c r="A14" s="11">
        <v>0.425</v>
      </c>
      <c r="B14" s="2" t="s">
        <v>9</v>
      </c>
      <c r="C14" s="7">
        <f>Optimistisch!C14</f>
        <v>0.7573</v>
      </c>
      <c r="D14" s="7">
        <f>Optimistisch!D14</f>
        <v>0.7855</v>
      </c>
      <c r="E14" s="7">
        <f>Optimistisch!E14</f>
        <v>0.7894</v>
      </c>
      <c r="F14" s="7">
        <f>Optimistisch!F14</f>
        <v>0.857</v>
      </c>
      <c r="G14" s="7">
        <f>Optimistisch!G14</f>
        <v>0.8854</v>
      </c>
      <c r="H14" s="8">
        <f>Optimistisch!H14</f>
        <v>0.995959926</v>
      </c>
      <c r="I14" s="8">
        <f>Optimistisch!I14</f>
        <v>0.957105536</v>
      </c>
      <c r="J14" s="8">
        <f>Optimistisch!J14</f>
        <v>1.03021649</v>
      </c>
      <c r="K14" s="8">
        <f t="shared" ref="K14:R14" si="6">K13*(1-$A$14)</f>
        <v>1.093560387</v>
      </c>
      <c r="L14" s="8">
        <f t="shared" si="6"/>
        <v>1.16364492</v>
      </c>
      <c r="M14" s="8">
        <f t="shared" si="6"/>
        <v>1.124080993</v>
      </c>
      <c r="N14" s="8">
        <f t="shared" si="6"/>
        <v>1.241172763</v>
      </c>
      <c r="O14" s="8">
        <f t="shared" si="6"/>
        <v>1.286989769</v>
      </c>
      <c r="P14" s="8">
        <f t="shared" si="6"/>
        <v>1.322905762</v>
      </c>
      <c r="Q14" s="8">
        <f t="shared" si="6"/>
        <v>1.31450142</v>
      </c>
      <c r="R14" s="8">
        <f t="shared" si="6"/>
        <v>1.303360219</v>
      </c>
    </row>
    <row r="15" ht="15.75" customHeight="1">
      <c r="A15" s="11">
        <v>1.0</v>
      </c>
      <c r="B15" s="2" t="s">
        <v>10</v>
      </c>
      <c r="H15" s="8">
        <f>C33</f>
        <v>2.01</v>
      </c>
      <c r="I15" s="8">
        <f t="shared" ref="I15:Q15" si="7">H15*$A$15</f>
        <v>2.01</v>
      </c>
      <c r="J15" s="8">
        <f t="shared" si="7"/>
        <v>2.01</v>
      </c>
      <c r="K15" s="8">
        <f t="shared" si="7"/>
        <v>2.01</v>
      </c>
      <c r="L15" s="8">
        <f t="shared" si="7"/>
        <v>2.01</v>
      </c>
      <c r="M15" s="8">
        <f t="shared" si="7"/>
        <v>2.01</v>
      </c>
      <c r="N15" s="8">
        <f t="shared" si="7"/>
        <v>2.01</v>
      </c>
      <c r="O15" s="8">
        <f t="shared" si="7"/>
        <v>2.01</v>
      </c>
      <c r="P15" s="8">
        <f t="shared" si="7"/>
        <v>2.01</v>
      </c>
      <c r="Q15" s="8">
        <f t="shared" si="7"/>
        <v>2.01</v>
      </c>
      <c r="R15" s="6" t="s">
        <v>6</v>
      </c>
    </row>
    <row r="16" ht="15.75" customHeight="1">
      <c r="B16" s="2" t="s">
        <v>11</v>
      </c>
      <c r="H16" s="8">
        <f t="shared" ref="H16:Q16" si="8">H14/H15</f>
        <v>0.4955024507</v>
      </c>
      <c r="I16" s="8">
        <f t="shared" si="8"/>
        <v>0.4761719085</v>
      </c>
      <c r="J16" s="8">
        <f t="shared" si="8"/>
        <v>0.5125455174</v>
      </c>
      <c r="K16" s="8">
        <f t="shared" si="8"/>
        <v>0.544059894</v>
      </c>
      <c r="L16" s="8">
        <f t="shared" si="8"/>
        <v>0.5789278209</v>
      </c>
      <c r="M16" s="8">
        <f t="shared" si="8"/>
        <v>0.559244275</v>
      </c>
      <c r="N16" s="8">
        <f t="shared" si="8"/>
        <v>0.617498887</v>
      </c>
      <c r="O16" s="8">
        <f t="shared" si="8"/>
        <v>0.6402934173</v>
      </c>
      <c r="P16" s="8">
        <f t="shared" si="8"/>
        <v>0.6581620708</v>
      </c>
      <c r="Q16" s="8">
        <f t="shared" si="8"/>
        <v>0.6539808059</v>
      </c>
      <c r="R16" s="6" t="s">
        <v>6</v>
      </c>
    </row>
    <row r="17" ht="15.75" customHeight="1">
      <c r="F17" s="12" t="s">
        <v>12</v>
      </c>
      <c r="G17" s="13"/>
      <c r="H17" s="14">
        <f>H14/(1+$B$29)</f>
        <v>0.942372837</v>
      </c>
      <c r="I17" s="14">
        <f>I14/(1+$B$29)^2</f>
        <v>0.8568831814</v>
      </c>
      <c r="J17" s="14">
        <f>J14/(1+$B$29)^3</f>
        <v>0.8727124725</v>
      </c>
      <c r="K17" s="14">
        <f>K14/(1+$B$29)^4</f>
        <v>0.8765291244</v>
      </c>
      <c r="L17" s="14">
        <f>L14/(1+$B$29)^5</f>
        <v>0.8825208083</v>
      </c>
      <c r="M17" s="14">
        <f>M14/(1+$B$29)^6</f>
        <v>0.8066459836</v>
      </c>
      <c r="N17" s="14">
        <f>N14/(1+$B$29)^7</f>
        <v>0.8427494994</v>
      </c>
      <c r="O17" s="14">
        <f>O14/(1+$B$29)^8</f>
        <v>0.8268414812</v>
      </c>
      <c r="P17" s="14">
        <f>P14/(1+$B$29)^9</f>
        <v>0.8041868464</v>
      </c>
      <c r="Q17" s="14">
        <f>Q14/(1+$B$29)^10</f>
        <v>0.7560839376</v>
      </c>
      <c r="R17" s="15">
        <f>(R14/(B29-R11))/(1+B29)^10</f>
        <v>15.99683478</v>
      </c>
    </row>
    <row r="18" ht="15.75" customHeight="1"/>
    <row r="19" ht="15.75" customHeight="1">
      <c r="A19" s="16" t="s">
        <v>13</v>
      </c>
      <c r="B19" s="17"/>
    </row>
    <row r="20" ht="15.75" customHeight="1">
      <c r="B20" s="18"/>
    </row>
    <row r="21" ht="15.75" customHeight="1">
      <c r="A21" s="2" t="s">
        <v>14</v>
      </c>
      <c r="B21" s="20">
        <f>Optimistisch!B21</f>
        <v>0.03716</v>
      </c>
    </row>
    <row r="22" ht="15.75" customHeight="1">
      <c r="B22" s="18"/>
    </row>
    <row r="23" ht="15.75" customHeight="1">
      <c r="A23" s="2" t="s">
        <v>15</v>
      </c>
      <c r="B23" s="20">
        <f>(B25-B21)*B27</f>
        <v>0.019704</v>
      </c>
    </row>
    <row r="24" ht="15.75" customHeight="1">
      <c r="B24" s="18"/>
    </row>
    <row r="25" ht="15.75" customHeight="1">
      <c r="A25" s="2" t="s">
        <v>16</v>
      </c>
      <c r="B25" s="20">
        <f>Optimistisch!B25</f>
        <v>0.07</v>
      </c>
    </row>
    <row r="26" ht="15.75" customHeight="1">
      <c r="B26" s="18"/>
    </row>
    <row r="27" ht="15.75" customHeight="1">
      <c r="A27" s="2" t="s">
        <v>17</v>
      </c>
      <c r="B27" s="21">
        <f>Optimistisch!B27</f>
        <v>0.6</v>
      </c>
    </row>
    <row r="28" ht="15.75" customHeight="1">
      <c r="B28" s="18"/>
    </row>
    <row r="29" ht="15.75" customHeight="1">
      <c r="A29" s="22" t="s">
        <v>18</v>
      </c>
      <c r="B29" s="23">
        <f>B21+(B25-B21)*B27</f>
        <v>0.056864</v>
      </c>
    </row>
    <row r="30" ht="15.75" customHeight="1"/>
    <row r="31" ht="15.75" customHeight="1">
      <c r="A31" s="3"/>
      <c r="B31" s="3"/>
      <c r="C31" s="24">
        <f>Optimistisch!C31</f>
        <v>45534</v>
      </c>
      <c r="D31" s="25" t="s">
        <v>19</v>
      </c>
    </row>
    <row r="32" ht="15.75" customHeight="1">
      <c r="A32" s="5" t="s">
        <v>20</v>
      </c>
      <c r="B32" s="5" t="s">
        <v>21</v>
      </c>
      <c r="C32" s="8">
        <f>C33*C34</f>
        <v>15.7986</v>
      </c>
      <c r="D32" s="8">
        <f>SUM(H17:R17)</f>
        <v>24.46436095</v>
      </c>
    </row>
    <row r="33" ht="15.75" customHeight="1">
      <c r="A33" s="5"/>
      <c r="B33" s="5" t="s">
        <v>22</v>
      </c>
      <c r="C33" s="8">
        <f>Optimistisch!C33</f>
        <v>2.01</v>
      </c>
      <c r="D33" s="8">
        <f>C33</f>
        <v>2.01</v>
      </c>
    </row>
    <row r="34" ht="15.75" customHeight="1">
      <c r="A34" s="5"/>
      <c r="B34" s="5" t="s">
        <v>23</v>
      </c>
      <c r="C34" s="8">
        <f>Optimistisch!C34</f>
        <v>7.86</v>
      </c>
      <c r="D34" s="8">
        <f>D32/D33</f>
        <v>12.17132386</v>
      </c>
    </row>
    <row r="35" ht="15.75" customHeight="1">
      <c r="A35" s="5"/>
      <c r="B35" s="5" t="s">
        <v>24</v>
      </c>
      <c r="C35" s="5"/>
      <c r="D35" s="11">
        <f>IF(C34/D34-1&gt;0,0,C34/D34-1)*-1</f>
        <v>0.3542197963</v>
      </c>
    </row>
    <row r="36" ht="15.75" customHeight="1">
      <c r="A36" s="5"/>
      <c r="B36" s="5" t="s">
        <v>25</v>
      </c>
      <c r="C36" s="5"/>
      <c r="D36" s="11">
        <f>IF(C34/D34-1&lt;0,0,C34/D34-1)</f>
        <v>0</v>
      </c>
    </row>
    <row r="37" ht="15.75" customHeight="1">
      <c r="A37" s="27"/>
      <c r="B37" s="27"/>
      <c r="C37" s="27"/>
      <c r="D37" s="27"/>
    </row>
    <row r="38" ht="15.75" customHeight="1">
      <c r="A38" s="28" t="s">
        <v>26</v>
      </c>
      <c r="B38" s="29"/>
      <c r="C38" s="29"/>
      <c r="D38" s="17"/>
    </row>
    <row r="39" ht="15.75" customHeight="1">
      <c r="A39" s="30"/>
      <c r="D39" s="18"/>
    </row>
    <row r="40" ht="15.75" customHeight="1">
      <c r="A40" s="30" t="str">
        <f>"KGV in "&amp;Q9&amp;":"</f>
        <v>KGV in 2033:</v>
      </c>
      <c r="D40" s="21">
        <v>14.0</v>
      </c>
    </row>
    <row r="41" ht="15.75" customHeight="1">
      <c r="A41" s="30"/>
      <c r="D41" s="18"/>
    </row>
    <row r="42" ht="15.75" customHeight="1">
      <c r="A42" s="30" t="str">
        <f>"Aktienkurs in "&amp;Q9&amp;":"</f>
        <v>Aktienkurs in 2033:</v>
      </c>
      <c r="D42" s="21">
        <f>Q16*D40</f>
        <v>9.155731283</v>
      </c>
    </row>
    <row r="43" ht="15.75" customHeight="1">
      <c r="A43" s="30"/>
      <c r="D43" s="18"/>
    </row>
    <row r="44" ht="15.75" customHeight="1">
      <c r="A44" s="30" t="s">
        <v>27</v>
      </c>
      <c r="D44" s="20">
        <v>0.7</v>
      </c>
    </row>
    <row r="45" ht="15.75" customHeight="1">
      <c r="A45" s="30"/>
      <c r="D45" s="18"/>
    </row>
    <row r="46" ht="15.75" customHeight="1">
      <c r="A46" s="30" t="s">
        <v>28</v>
      </c>
      <c r="D46" s="21">
        <f>D44*SUM(H16:Q16)</f>
        <v>4.015470933</v>
      </c>
    </row>
    <row r="47" ht="15.75" customHeight="1">
      <c r="A47" s="30"/>
      <c r="D47" s="18"/>
    </row>
    <row r="48" ht="15.75" customHeight="1">
      <c r="A48" s="30" t="s">
        <v>29</v>
      </c>
      <c r="D48" s="20">
        <f>Optimistisch!D48</f>
        <v>0.15</v>
      </c>
    </row>
    <row r="49" ht="15.75" customHeight="1">
      <c r="A49" s="30"/>
      <c r="D49" s="18"/>
    </row>
    <row r="50" ht="15.75" customHeight="1">
      <c r="A50" s="30" t="str">
        <f>"Gesamtwert "&amp;Q9</f>
        <v>Gesamtwert 2033</v>
      </c>
      <c r="D50" s="21">
        <f>D42+D46*(1-D48)</f>
        <v>12.56888158</v>
      </c>
    </row>
    <row r="51" ht="15.75" customHeight="1">
      <c r="A51" s="30"/>
      <c r="D51" s="18"/>
    </row>
    <row r="52" ht="15.75" customHeight="1">
      <c r="A52" s="30" t="str">
        <f>"Steigerung bis "&amp;Q9</f>
        <v>Steigerung bis 2033</v>
      </c>
      <c r="D52" s="20">
        <f>D50/C34-1</f>
        <v>0.5990943481</v>
      </c>
    </row>
    <row r="53" ht="15.75" customHeight="1">
      <c r="A53" s="30"/>
      <c r="D53" s="18"/>
    </row>
    <row r="54" ht="15.75" customHeight="1">
      <c r="A54" s="31" t="str">
        <f>"Renditeerwartung bis "&amp;Q9&amp;" pro Jahr"</f>
        <v>Renditeerwartung bis 2033 pro Jahr</v>
      </c>
      <c r="B54" s="32"/>
      <c r="C54" s="32"/>
      <c r="D54" s="33">
        <f>(D50/C34)^(1/10)-1</f>
        <v>0.04806304723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4" width="10.33"/>
    <col customWidth="1" hidden="1" min="15" max="18" width="10.33"/>
    <col customWidth="1" min="19" max="26" width="8.33"/>
  </cols>
  <sheetData>
    <row r="1" ht="15.75" customHeight="1"/>
    <row r="2" ht="15.75" customHeight="1">
      <c r="B2" s="1" t="s">
        <v>30</v>
      </c>
    </row>
    <row r="3" ht="15.75" customHeight="1"/>
    <row r="4" ht="15.75" customHeight="1">
      <c r="B4" s="2" t="str">
        <f>Optimistisch!B4</f>
        <v>Annahmen für Terna</v>
      </c>
    </row>
    <row r="5" ht="15.75" customHeight="1"/>
    <row r="6" ht="15.75" customHeight="1">
      <c r="B6" s="2" t="str">
        <f>Optimistisch!B6</f>
        <v>Alle Angaben in Mrd.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</row>
    <row r="9" ht="15.75" customHeight="1">
      <c r="C9" s="2">
        <f>Optimistisch!C9</f>
        <v>2019</v>
      </c>
      <c r="D9" s="2">
        <f t="shared" ref="D9:M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R9" s="9"/>
    </row>
    <row r="10" ht="15.75" customHeight="1">
      <c r="B10" s="2" t="s">
        <v>4</v>
      </c>
      <c r="C10" s="7">
        <f>Optimistisch!C10</f>
        <v>2.2879</v>
      </c>
      <c r="D10" s="7">
        <f>Optimistisch!D10</f>
        <v>2.4619</v>
      </c>
      <c r="E10" s="7">
        <f>Optimistisch!E10</f>
        <v>2.5345</v>
      </c>
      <c r="F10" s="7">
        <f>Optimistisch!F10</f>
        <v>2.8981</v>
      </c>
      <c r="G10" s="7">
        <f>Optimistisch!G10</f>
        <v>3.1228</v>
      </c>
      <c r="H10" s="8">
        <f>Optimistisch!H10</f>
        <v>3.46662</v>
      </c>
      <c r="I10" s="8">
        <f>Optimistisch!I10</f>
        <v>3.60356</v>
      </c>
      <c r="J10" s="8">
        <f>Optimistisch!J10</f>
        <v>3.90974</v>
      </c>
      <c r="K10" s="8">
        <f>(Optimistisch!K10+Pessimistisch!K10)/2</f>
        <v>4.25184225</v>
      </c>
      <c r="L10" s="8">
        <f>(Optimistisch!L10+Pessimistisch!L10)/2</f>
        <v>4.603230133</v>
      </c>
      <c r="M10" s="8">
        <f>(Optimistisch!M10+Pessimistisch!M10)/2</f>
        <v>4.870302028</v>
      </c>
      <c r="N10" s="7"/>
      <c r="O10" s="7"/>
      <c r="P10" s="7"/>
      <c r="Q10" s="7"/>
      <c r="R10" s="7"/>
    </row>
    <row r="11" ht="15.75" customHeight="1">
      <c r="B11" s="2" t="s">
        <v>31</v>
      </c>
      <c r="C11" s="10">
        <f t="shared" ref="C11:G11" si="2">C12/C10</f>
        <v>0.09926133135</v>
      </c>
      <c r="D11" s="10">
        <f t="shared" si="2"/>
        <v>-0.1230756733</v>
      </c>
      <c r="E11" s="10">
        <f t="shared" si="2"/>
        <v>-0.0862497534</v>
      </c>
      <c r="F11" s="10">
        <f t="shared" si="2"/>
        <v>0.2661053794</v>
      </c>
      <c r="G11" s="10">
        <f t="shared" si="2"/>
        <v>-0.3810682721</v>
      </c>
      <c r="H11" s="11">
        <v>-0.246</v>
      </c>
      <c r="I11" s="11">
        <v>-0.4364</v>
      </c>
      <c r="J11" s="11">
        <v>-0.3727</v>
      </c>
      <c r="K11" s="11">
        <v>-0.24</v>
      </c>
      <c r="L11" s="11">
        <v>-0.085</v>
      </c>
      <c r="M11" s="11">
        <v>0.135</v>
      </c>
      <c r="N11" s="10"/>
      <c r="O11" s="10"/>
      <c r="P11" s="10"/>
      <c r="Q11" s="10"/>
      <c r="R11" s="10"/>
    </row>
    <row r="12" ht="15.75" customHeight="1">
      <c r="B12" s="2" t="s">
        <v>32</v>
      </c>
      <c r="C12" s="7">
        <v>0.2271</v>
      </c>
      <c r="D12" s="7">
        <v>-0.303</v>
      </c>
      <c r="E12" s="7">
        <v>-0.2186</v>
      </c>
      <c r="F12" s="7">
        <v>0.7712</v>
      </c>
      <c r="G12" s="7">
        <v>-1.19</v>
      </c>
      <c r="H12" s="8">
        <f t="shared" ref="H12:M12" si="3">H10*H11</f>
        <v>-0.85278852</v>
      </c>
      <c r="I12" s="8">
        <f t="shared" si="3"/>
        <v>-1.572593584</v>
      </c>
      <c r="J12" s="8">
        <f t="shared" si="3"/>
        <v>-1.457160098</v>
      </c>
      <c r="K12" s="8">
        <f t="shared" si="3"/>
        <v>-1.02044214</v>
      </c>
      <c r="L12" s="8">
        <f t="shared" si="3"/>
        <v>-0.3912745613</v>
      </c>
      <c r="M12" s="8">
        <f t="shared" si="3"/>
        <v>0.6574907738</v>
      </c>
      <c r="N12" s="7"/>
      <c r="O12" s="7"/>
      <c r="P12" s="7"/>
      <c r="Q12" s="7"/>
      <c r="R12" s="7"/>
    </row>
    <row r="13" ht="15.75" customHeight="1">
      <c r="F13" s="12" t="s">
        <v>33</v>
      </c>
      <c r="G13" s="13"/>
      <c r="H13" s="14">
        <f>H12/(1+$B$37)</f>
        <v>-0.8215714114</v>
      </c>
      <c r="I13" s="14">
        <f>I12/(1+$B$37)^2</f>
        <v>-1.459568378</v>
      </c>
      <c r="J13" s="14">
        <f>J12/(1+$B$37)^3</f>
        <v>-1.302924317</v>
      </c>
      <c r="K13" s="14">
        <f>K12/(1+$B$37)^4</f>
        <v>-0.8790311742</v>
      </c>
      <c r="L13" s="14">
        <f>L12/(1+$B$37)^5</f>
        <v>-0.3247143478</v>
      </c>
      <c r="M13" s="15">
        <f>(M12/(B37-B39))/(1+B37)^5</f>
        <v>30.31890638</v>
      </c>
      <c r="N13" s="7"/>
      <c r="O13" s="7"/>
      <c r="P13" s="7"/>
      <c r="Q13" s="7"/>
      <c r="R13" s="7"/>
    </row>
    <row r="14" ht="15.75" customHeight="1"/>
    <row r="15" ht="15.75" customHeight="1">
      <c r="A15" s="16" t="s">
        <v>13</v>
      </c>
      <c r="B15" s="17"/>
    </row>
    <row r="16" ht="15.75" customHeight="1">
      <c r="B16" s="18"/>
    </row>
    <row r="17" ht="15.75" customHeight="1">
      <c r="A17" s="2" t="s">
        <v>14</v>
      </c>
      <c r="B17" s="20">
        <f>Optimistisch!B21</f>
        <v>0.03716</v>
      </c>
    </row>
    <row r="18" ht="15.75" customHeight="1">
      <c r="B18" s="18"/>
    </row>
    <row r="19" ht="15.75" customHeight="1">
      <c r="A19" s="2" t="s">
        <v>15</v>
      </c>
      <c r="B19" s="20">
        <f>(B21-B17)*B23</f>
        <v>0.019704</v>
      </c>
    </row>
    <row r="20" ht="15.75" customHeight="1">
      <c r="B20" s="18"/>
    </row>
    <row r="21" ht="15.75" customHeight="1">
      <c r="A21" s="2" t="s">
        <v>16</v>
      </c>
      <c r="B21" s="20">
        <f>Optimistisch!B25</f>
        <v>0.07</v>
      </c>
    </row>
    <row r="22" ht="15.75" customHeight="1">
      <c r="B22" s="18"/>
    </row>
    <row r="23" ht="15.75" customHeight="1">
      <c r="A23" s="2" t="s">
        <v>17</v>
      </c>
      <c r="B23" s="21">
        <f>Optimistisch!B27</f>
        <v>0.6</v>
      </c>
    </row>
    <row r="24" ht="15.75" customHeight="1">
      <c r="B24" s="18"/>
    </row>
    <row r="25" ht="15.75" customHeight="1">
      <c r="A25" s="22" t="s">
        <v>18</v>
      </c>
      <c r="B25" s="23">
        <f>B17+(B21-B17)*B23</f>
        <v>0.056864</v>
      </c>
    </row>
    <row r="26" ht="15.75" customHeight="1"/>
    <row r="27" ht="15.75" customHeight="1">
      <c r="A27" s="28" t="s">
        <v>34</v>
      </c>
      <c r="B27" s="17"/>
    </row>
    <row r="28" ht="15.75" customHeight="1">
      <c r="A28" s="30"/>
      <c r="B28" s="18"/>
    </row>
    <row r="29" ht="15.75" customHeight="1">
      <c r="A29" s="30" t="s">
        <v>35</v>
      </c>
      <c r="B29" s="21">
        <f>C42</f>
        <v>15.7986</v>
      </c>
    </row>
    <row r="30" ht="15.75" customHeight="1">
      <c r="A30" s="30"/>
      <c r="B30" s="18"/>
    </row>
    <row r="31" ht="15.75" customHeight="1">
      <c r="A31" s="30" t="s">
        <v>36</v>
      </c>
      <c r="B31" s="21">
        <v>12.8609</v>
      </c>
    </row>
    <row r="32" ht="15.75" customHeight="1">
      <c r="A32" s="30"/>
      <c r="B32" s="18"/>
    </row>
    <row r="33" ht="15.75" customHeight="1">
      <c r="A33" s="30" t="s">
        <v>37</v>
      </c>
      <c r="B33" s="20">
        <v>0.0195</v>
      </c>
    </row>
    <row r="34" ht="15.75" customHeight="1">
      <c r="A34" s="30"/>
      <c r="B34" s="18"/>
    </row>
    <row r="35" ht="15.75" customHeight="1">
      <c r="A35" s="30" t="s">
        <v>38</v>
      </c>
      <c r="B35" s="20">
        <v>0.24</v>
      </c>
    </row>
    <row r="36" ht="15.75" customHeight="1">
      <c r="A36" s="30"/>
      <c r="B36" s="18"/>
    </row>
    <row r="37" ht="15.75" customHeight="1">
      <c r="A37" s="34" t="s">
        <v>39</v>
      </c>
      <c r="B37" s="23">
        <f>B25*(B29/(B29+B31))+B33*(B31/(B29+B31))*(1-B35)</f>
        <v>0.03799682927</v>
      </c>
    </row>
    <row r="38" ht="15.75" customHeight="1">
      <c r="B38" s="10"/>
    </row>
    <row r="39" ht="15.75" customHeight="1">
      <c r="A39" s="2" t="s">
        <v>40</v>
      </c>
      <c r="B39" s="10">
        <v>0.02</v>
      </c>
    </row>
    <row r="40" ht="15.75" customHeight="1"/>
    <row r="41" ht="15.75" customHeight="1">
      <c r="A41" s="3"/>
      <c r="B41" s="3"/>
      <c r="C41" s="24">
        <f>Optimistisch!C31</f>
        <v>45534</v>
      </c>
      <c r="D41" s="25" t="s">
        <v>19</v>
      </c>
    </row>
    <row r="42" ht="15.75" customHeight="1">
      <c r="A42" s="5" t="s">
        <v>20</v>
      </c>
      <c r="B42" s="5" t="s">
        <v>21</v>
      </c>
      <c r="C42" s="8">
        <f>C43*C44</f>
        <v>15.7986</v>
      </c>
      <c r="D42" s="8">
        <f>SUM(H13:M13)-B31</f>
        <v>12.67019675</v>
      </c>
    </row>
    <row r="43" ht="15.75" customHeight="1">
      <c r="A43" s="5"/>
      <c r="B43" s="5" t="s">
        <v>22</v>
      </c>
      <c r="C43" s="8">
        <f>Optimistisch!C33</f>
        <v>2.01</v>
      </c>
      <c r="D43" s="8">
        <f>C43</f>
        <v>2.01</v>
      </c>
    </row>
    <row r="44" ht="15.75" customHeight="1">
      <c r="A44" s="5"/>
      <c r="B44" s="5" t="s">
        <v>23</v>
      </c>
      <c r="C44" s="8">
        <f>Optimistisch!C34</f>
        <v>7.86</v>
      </c>
      <c r="D44" s="8">
        <f>D42/D43</f>
        <v>6.303580471</v>
      </c>
    </row>
    <row r="45" ht="15.75" customHeight="1">
      <c r="A45" s="5"/>
      <c r="B45" s="5" t="s">
        <v>24</v>
      </c>
      <c r="C45" s="5"/>
      <c r="D45" s="11">
        <f>IF(C44/D44-1&gt;0,0,C44/D44-1)*-1</f>
        <v>0</v>
      </c>
    </row>
    <row r="46" ht="15.75" customHeight="1">
      <c r="A46" s="5"/>
      <c r="B46" s="5" t="s">
        <v>25</v>
      </c>
      <c r="C46" s="5"/>
      <c r="D46" s="11">
        <f>IF(C44/D44-1&lt;0,0,C44/D44-1)</f>
        <v>0.2469103925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2023-11-01T21:06:40Z</dcterms:created>
  <dc:creator>Tilman Reichel</dc:creator>
</cp:coreProperties>
</file>